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25" windowWidth="20730" windowHeight="1164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345" i="1" l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M349" i="1"/>
  <c r="F347" i="1"/>
  <c r="B347" i="1"/>
  <c r="M346" i="1"/>
  <c r="K346" i="1"/>
  <c r="G346" i="1"/>
  <c r="C346" i="1"/>
  <c r="B346" i="1"/>
  <c r="G345" i="1"/>
  <c r="G344" i="1"/>
  <c r="G343" i="1"/>
  <c r="G342" i="1"/>
  <c r="E342" i="1"/>
  <c r="G341" i="1"/>
  <c r="G339" i="1"/>
  <c r="E339" i="1"/>
  <c r="G338" i="1"/>
  <c r="G337" i="1"/>
  <c r="E337" i="1"/>
  <c r="G336" i="1"/>
  <c r="G335" i="1"/>
  <c r="G332" i="1"/>
  <c r="E332" i="1"/>
  <c r="E330" i="1"/>
  <c r="G325" i="1"/>
  <c r="G324" i="1"/>
  <c r="G323" i="1"/>
  <c r="G322" i="1"/>
  <c r="E321" i="1"/>
  <c r="G320" i="1"/>
  <c r="E320" i="1"/>
  <c r="G319" i="1"/>
  <c r="G314" i="1"/>
  <c r="E314" i="1"/>
  <c r="G313" i="1"/>
  <c r="E313" i="1"/>
  <c r="G312" i="1"/>
  <c r="E312" i="1"/>
  <c r="G309" i="1"/>
  <c r="E309" i="1"/>
  <c r="G308" i="1"/>
  <c r="E308" i="1"/>
  <c r="G307" i="1"/>
  <c r="G306" i="1"/>
  <c r="E306" i="1"/>
  <c r="G305" i="1"/>
  <c r="E305" i="1"/>
  <c r="G304" i="1"/>
  <c r="E297" i="1"/>
  <c r="G294" i="1"/>
  <c r="G293" i="1"/>
  <c r="G292" i="1"/>
  <c r="G291" i="1"/>
  <c r="G290" i="1"/>
  <c r="G287" i="1"/>
  <c r="E287" i="1"/>
  <c r="G285" i="1"/>
  <c r="E285" i="1"/>
  <c r="G284" i="1"/>
  <c r="G283" i="1"/>
  <c r="G281" i="1"/>
  <c r="G280" i="1"/>
  <c r="E280" i="1"/>
  <c r="E279" i="1"/>
  <c r="G275" i="1"/>
  <c r="G272" i="1"/>
  <c r="G270" i="1"/>
  <c r="E268" i="1"/>
  <c r="G267" i="1"/>
  <c r="G266" i="1"/>
  <c r="E265" i="1"/>
  <c r="E263" i="1"/>
  <c r="E262" i="1"/>
  <c r="E254" i="1"/>
  <c r="G252" i="1"/>
  <c r="G249" i="1"/>
  <c r="E248" i="1"/>
  <c r="G247" i="1"/>
  <c r="E245" i="1"/>
  <c r="G244" i="1"/>
  <c r="E243" i="1"/>
  <c r="G239" i="1"/>
  <c r="G236" i="1"/>
  <c r="G235" i="1"/>
  <c r="G234" i="1"/>
  <c r="G233" i="1"/>
  <c r="G231" i="1"/>
  <c r="G230" i="1"/>
  <c r="G228" i="1"/>
  <c r="G227" i="1"/>
  <c r="E226" i="1"/>
  <c r="E225" i="1"/>
  <c r="E224" i="1"/>
  <c r="G223" i="1"/>
  <c r="E222" i="1"/>
  <c r="G221" i="1"/>
  <c r="G220" i="1"/>
  <c r="E220" i="1"/>
  <c r="G218" i="1"/>
  <c r="E217" i="1"/>
  <c r="G216" i="1"/>
  <c r="E216" i="1"/>
  <c r="G215" i="1"/>
  <c r="E214" i="1"/>
  <c r="G210" i="1"/>
  <c r="E209" i="1"/>
  <c r="G208" i="1"/>
  <c r="G205" i="1"/>
  <c r="E202" i="1"/>
  <c r="G201" i="1"/>
  <c r="E200" i="1"/>
  <c r="G198" i="1"/>
  <c r="G197" i="1"/>
  <c r="E195" i="1"/>
  <c r="G191" i="1"/>
  <c r="E184" i="1"/>
  <c r="E181" i="1"/>
  <c r="G180" i="1"/>
  <c r="G179" i="1"/>
  <c r="G178" i="1"/>
  <c r="E174" i="1"/>
  <c r="E173" i="1"/>
  <c r="G172" i="1"/>
  <c r="E172" i="1"/>
  <c r="E171" i="1"/>
  <c r="E170" i="1"/>
  <c r="G169" i="1"/>
  <c r="E169" i="1"/>
  <c r="E163" i="1"/>
  <c r="G162" i="1"/>
  <c r="E162" i="1"/>
  <c r="G160" i="1"/>
  <c r="G159" i="1"/>
  <c r="G153" i="1"/>
  <c r="E152" i="1"/>
  <c r="G145" i="1"/>
  <c r="E142" i="1"/>
  <c r="L139" i="1"/>
  <c r="L120" i="1"/>
  <c r="N117" i="1" s="1"/>
  <c r="J120" i="1"/>
  <c r="L119" i="1"/>
  <c r="J119" i="1"/>
  <c r="M119" i="1" s="1"/>
  <c r="M118" i="1"/>
  <c r="M117" i="1"/>
  <c r="K116" i="1"/>
  <c r="J116" i="1"/>
  <c r="M115" i="1"/>
  <c r="M114" i="1"/>
  <c r="K113" i="1"/>
  <c r="J113" i="1"/>
  <c r="M113" i="1" s="1"/>
  <c r="M112" i="1"/>
  <c r="N114" i="1"/>
  <c r="L105" i="1"/>
  <c r="L107" i="1" s="1"/>
  <c r="K105" i="1"/>
  <c r="K107" i="1" s="1"/>
  <c r="J107" i="1"/>
  <c r="L98" i="1"/>
  <c r="L97" i="1"/>
  <c r="J97" i="1"/>
  <c r="L96" i="1"/>
  <c r="K96" i="1"/>
  <c r="J96" i="1"/>
  <c r="L95" i="1"/>
  <c r="K95" i="1"/>
  <c r="K100" i="1" s="1"/>
  <c r="J95" i="1"/>
  <c r="J100" i="1"/>
  <c r="L89" i="1"/>
  <c r="K89" i="1"/>
  <c r="M89" i="1" s="1"/>
  <c r="M88" i="1"/>
  <c r="M87" i="1"/>
  <c r="K86" i="1"/>
  <c r="J86" i="1"/>
  <c r="M86" i="1" s="1"/>
  <c r="M85" i="1"/>
  <c r="M84" i="1"/>
  <c r="L83" i="1"/>
  <c r="J83" i="1"/>
  <c r="J90" i="1" s="1"/>
  <c r="M77" i="1"/>
  <c r="K76" i="1"/>
  <c r="M76" i="1" s="1"/>
  <c r="K75" i="1"/>
  <c r="M75" i="1" s="1"/>
  <c r="K74" i="1"/>
  <c r="J74" i="1"/>
  <c r="K73" i="1"/>
  <c r="M73" i="1" s="1"/>
  <c r="M72" i="1"/>
  <c r="J71" i="1"/>
  <c r="M71" i="1" s="1"/>
  <c r="L70" i="1"/>
  <c r="K70" i="1"/>
  <c r="J70" i="1"/>
  <c r="L69" i="1"/>
  <c r="K69" i="1"/>
  <c r="M69" i="1" s="1"/>
  <c r="L68" i="1"/>
  <c r="J68" i="1"/>
  <c r="L67" i="1"/>
  <c r="M67" i="1" s="1"/>
  <c r="L66" i="1"/>
  <c r="K66" i="1"/>
  <c r="J66" i="1"/>
  <c r="M66" i="1" s="1"/>
  <c r="M65" i="1"/>
  <c r="K64" i="1"/>
  <c r="M64" i="1" s="1"/>
  <c r="L63" i="1"/>
  <c r="K63" i="1"/>
  <c r="J63" i="1"/>
  <c r="M63" i="1" s="1"/>
  <c r="M62" i="1"/>
  <c r="J62" i="1"/>
  <c r="J61" i="1"/>
  <c r="M61" i="1" s="1"/>
  <c r="L60" i="1"/>
  <c r="K60" i="1"/>
  <c r="M60" i="1" s="1"/>
  <c r="J60" i="1"/>
  <c r="M59" i="1"/>
  <c r="M58" i="1"/>
  <c r="M57" i="1"/>
  <c r="M56" i="1"/>
  <c r="L55" i="1"/>
  <c r="K55" i="1"/>
  <c r="J55" i="1"/>
  <c r="M55" i="1" s="1"/>
  <c r="J54" i="1"/>
  <c r="M54" i="1" s="1"/>
  <c r="K53" i="1"/>
  <c r="J53" i="1"/>
  <c r="M53" i="1" s="1"/>
  <c r="K52" i="1"/>
  <c r="J52" i="1"/>
  <c r="M52" i="1" s="1"/>
  <c r="L51" i="1"/>
  <c r="J51" i="1"/>
  <c r="M51" i="1" s="1"/>
  <c r="L50" i="1"/>
  <c r="K50" i="1"/>
  <c r="J50" i="1"/>
  <c r="M50" i="1" s="1"/>
  <c r="M49" i="1"/>
  <c r="M48" i="1"/>
  <c r="M47" i="1"/>
  <c r="M46" i="1"/>
  <c r="M45" i="1"/>
  <c r="J45" i="1"/>
  <c r="M44" i="1"/>
  <c r="M43" i="1"/>
  <c r="M42" i="1"/>
  <c r="M41" i="1"/>
  <c r="L40" i="1"/>
  <c r="L78" i="1" s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K18" i="1"/>
  <c r="M17" i="1"/>
  <c r="J16" i="1"/>
  <c r="M16" i="1" s="1"/>
  <c r="M15" i="1"/>
  <c r="K15" i="1"/>
  <c r="M68" i="1" l="1"/>
  <c r="M70" i="1"/>
  <c r="M74" i="1"/>
  <c r="L100" i="1"/>
  <c r="K78" i="1"/>
  <c r="M107" i="1"/>
  <c r="M100" i="1"/>
  <c r="M40" i="1"/>
  <c r="M78" i="1" s="1"/>
  <c r="J78" i="1"/>
  <c r="M83" i="1"/>
  <c r="L90" i="1"/>
  <c r="J121" i="1"/>
  <c r="K111" i="1" s="1"/>
  <c r="K121" i="1" s="1"/>
  <c r="L111" i="1" s="1"/>
  <c r="L121" i="1" s="1"/>
  <c r="N121" i="1" s="1"/>
  <c r="K90" i="1"/>
  <c r="M90" i="1" s="1"/>
  <c r="N138" i="1"/>
  <c r="O138" i="1" s="1"/>
  <c r="M116" i="1"/>
  <c r="N112" i="1" s="1"/>
  <c r="M120" i="1"/>
  <c r="E346" i="1"/>
  <c r="N21" i="1" l="1"/>
  <c r="N49" i="1"/>
  <c r="N23" i="1"/>
  <c r="N20" i="1"/>
  <c r="N65" i="1"/>
  <c r="N60" i="1"/>
  <c r="N31" i="1"/>
  <c r="N24" i="1"/>
  <c r="N69" i="1"/>
  <c r="N33" i="1"/>
  <c r="N71" i="1"/>
  <c r="N63" i="1"/>
  <c r="N36" i="1"/>
  <c r="N30" i="1"/>
  <c r="N27" i="1"/>
  <c r="N64" i="1"/>
  <c r="N47" i="1"/>
  <c r="N29" i="1"/>
  <c r="N85" i="1"/>
  <c r="M91" i="1"/>
  <c r="C140" i="1" s="1"/>
  <c r="N88" i="1"/>
  <c r="N87" i="1"/>
  <c r="N84" i="1"/>
  <c r="N86" i="1"/>
  <c r="N89" i="1"/>
  <c r="M108" i="1"/>
  <c r="N83" i="1"/>
  <c r="N90" i="1" s="1"/>
  <c r="N119" i="1"/>
  <c r="I117" i="1"/>
  <c r="I112" i="1"/>
  <c r="I120" i="1"/>
  <c r="I118" i="1"/>
  <c r="I114" i="1"/>
  <c r="I119" i="1"/>
  <c r="I115" i="1"/>
  <c r="I113" i="1"/>
  <c r="I116" i="1"/>
  <c r="N40" i="1"/>
  <c r="M101" i="1"/>
  <c r="N75" i="1"/>
  <c r="N61" i="1"/>
  <c r="N32" i="1"/>
  <c r="N50" i="1"/>
  <c r="N72" i="1"/>
  <c r="N16" i="1"/>
  <c r="N70" i="1"/>
  <c r="N55" i="1"/>
  <c r="N45" i="1"/>
  <c r="N26" i="1"/>
  <c r="N76" i="1"/>
  <c r="N37" i="1"/>
  <c r="N15" i="1"/>
  <c r="N48" i="1"/>
  <c r="N73" i="1"/>
  <c r="N52" i="1"/>
  <c r="N28" i="1"/>
  <c r="N35" i="1"/>
  <c r="N46" i="1"/>
  <c r="N68" i="1"/>
  <c r="N53" i="1"/>
  <c r="N38" i="1"/>
  <c r="N22" i="1"/>
  <c r="N67" i="1"/>
  <c r="N25" i="1"/>
  <c r="F322" i="1"/>
  <c r="F345" i="1"/>
  <c r="F338" i="1"/>
  <c r="F333" i="1"/>
  <c r="F285" i="1"/>
  <c r="F265" i="1"/>
  <c r="F251" i="1"/>
  <c r="F247" i="1"/>
  <c r="F312" i="1"/>
  <c r="F334" i="1"/>
  <c r="F276" i="1"/>
  <c r="F260" i="1"/>
  <c r="F245" i="1"/>
  <c r="F184" i="1"/>
  <c r="F280" i="1"/>
  <c r="F256" i="1"/>
  <c r="F246" i="1"/>
  <c r="F218" i="1"/>
  <c r="F236" i="1"/>
  <c r="F182" i="1"/>
  <c r="F221" i="1"/>
  <c r="N39" i="1"/>
  <c r="N74" i="1"/>
  <c r="N62" i="1"/>
  <c r="N51" i="1"/>
  <c r="N34" i="1"/>
  <c r="N18" i="1"/>
  <c r="N66" i="1"/>
  <c r="N59" i="1"/>
  <c r="N57" i="1"/>
  <c r="N42" i="1"/>
  <c r="N17" i="1"/>
  <c r="N43" i="1"/>
  <c r="M79" i="1"/>
  <c r="C139" i="1" s="1"/>
  <c r="E139" i="1" s="1"/>
  <c r="E140" i="1" s="1"/>
  <c r="N44" i="1"/>
  <c r="N56" i="1"/>
  <c r="N41" i="1"/>
  <c r="N77" i="1"/>
  <c r="N58" i="1"/>
  <c r="N54" i="1"/>
  <c r="N19" i="1"/>
  <c r="I138" i="1" l="1"/>
  <c r="J138" i="1" s="1"/>
  <c r="H218" i="1" s="1"/>
  <c r="J218" i="1" s="1"/>
  <c r="I140" i="1"/>
  <c r="J140" i="1" s="1"/>
  <c r="I121" i="1"/>
  <c r="H312" i="1"/>
  <c r="J312" i="1" s="1"/>
  <c r="F346" i="1"/>
  <c r="H182" i="1"/>
  <c r="J182" i="1" s="1"/>
  <c r="N78" i="1"/>
  <c r="H333" i="1" l="1"/>
  <c r="J333" i="1" s="1"/>
  <c r="H251" i="1"/>
  <c r="J251" i="1" s="1"/>
  <c r="H334" i="1"/>
  <c r="J334" i="1" s="1"/>
  <c r="L218" i="1"/>
  <c r="N218" i="1" s="1"/>
  <c r="O218" i="1" s="1"/>
  <c r="L334" i="1"/>
  <c r="N334" i="1" s="1"/>
  <c r="O334" i="1" s="1"/>
  <c r="L312" i="1"/>
  <c r="N312" i="1" s="1"/>
  <c r="O312" i="1" s="1"/>
  <c r="H265" i="1"/>
  <c r="J265" i="1" s="1"/>
  <c r="H280" i="1"/>
  <c r="J280" i="1" s="1"/>
  <c r="H260" i="1"/>
  <c r="J260" i="1" s="1"/>
  <c r="H322" i="1"/>
  <c r="J322" i="1" s="1"/>
  <c r="H246" i="1"/>
  <c r="J246" i="1" s="1"/>
  <c r="H184" i="1"/>
  <c r="J184" i="1" s="1"/>
  <c r="H276" i="1"/>
  <c r="J276" i="1" s="1"/>
  <c r="H256" i="1"/>
  <c r="J256" i="1" s="1"/>
  <c r="H285" i="1"/>
  <c r="J285" i="1" s="1"/>
  <c r="H221" i="1"/>
  <c r="J221" i="1" s="1"/>
  <c r="H345" i="1"/>
  <c r="J345" i="1" s="1"/>
  <c r="L251" i="1"/>
  <c r="N251" i="1" s="1"/>
  <c r="O251" i="1" s="1"/>
  <c r="L182" i="1"/>
  <c r="N182" i="1" s="1"/>
  <c r="O182" i="1" s="1"/>
  <c r="H338" i="1"/>
  <c r="J338" i="1" s="1"/>
  <c r="H247" i="1"/>
  <c r="J247" i="1" s="1"/>
  <c r="H346" i="1"/>
  <c r="H245" i="1"/>
  <c r="J245" i="1" s="1"/>
  <c r="H236" i="1"/>
  <c r="J236" i="1" s="1"/>
  <c r="H331" i="1"/>
  <c r="J331" i="1" s="1"/>
  <c r="H326" i="1"/>
  <c r="H310" i="1"/>
  <c r="J310" i="1" s="1"/>
  <c r="H296" i="1"/>
  <c r="J296" i="1" s="1"/>
  <c r="H329" i="1"/>
  <c r="J329" i="1" s="1"/>
  <c r="H327" i="1"/>
  <c r="J327" i="1" s="1"/>
  <c r="H318" i="1"/>
  <c r="J318" i="1" s="1"/>
  <c r="H316" i="1"/>
  <c r="J316" i="1" s="1"/>
  <c r="H313" i="1"/>
  <c r="J313" i="1" s="1"/>
  <c r="H303" i="1"/>
  <c r="J303" i="1" s="1"/>
  <c r="H301" i="1"/>
  <c r="J301" i="1" s="1"/>
  <c r="H299" i="1"/>
  <c r="J299" i="1" s="1"/>
  <c r="H297" i="1"/>
  <c r="J297" i="1" s="1"/>
  <c r="H294" i="1"/>
  <c r="H289" i="1"/>
  <c r="J289" i="1" s="1"/>
  <c r="H340" i="1"/>
  <c r="J340" i="1" s="1"/>
  <c r="H330" i="1"/>
  <c r="J330" i="1" s="1"/>
  <c r="H311" i="1"/>
  <c r="J311" i="1" s="1"/>
  <c r="H295" i="1"/>
  <c r="J295" i="1" s="1"/>
  <c r="H286" i="1"/>
  <c r="J286" i="1" s="1"/>
  <c r="H317" i="1"/>
  <c r="J317" i="1" s="1"/>
  <c r="H282" i="1"/>
  <c r="J282" i="1" s="1"/>
  <c r="H274" i="1"/>
  <c r="H269" i="1"/>
  <c r="J269" i="1" s="1"/>
  <c r="H262" i="1"/>
  <c r="J262" i="1" s="1"/>
  <c r="H259" i="1"/>
  <c r="J259" i="1" s="1"/>
  <c r="H257" i="1"/>
  <c r="J257" i="1" s="1"/>
  <c r="H243" i="1"/>
  <c r="J243" i="1" s="1"/>
  <c r="H342" i="1"/>
  <c r="J342" i="1" s="1"/>
  <c r="H315" i="1"/>
  <c r="J315" i="1" s="1"/>
  <c r="H302" i="1"/>
  <c r="J302" i="1" s="1"/>
  <c r="H341" i="1"/>
  <c r="J341" i="1" s="1"/>
  <c r="H335" i="1"/>
  <c r="J335" i="1" s="1"/>
  <c r="H328" i="1"/>
  <c r="J328" i="1" s="1"/>
  <c r="H300" i="1"/>
  <c r="J300" i="1" s="1"/>
  <c r="H279" i="1"/>
  <c r="J279" i="1" s="1"/>
  <c r="H273" i="1"/>
  <c r="J273" i="1" s="1"/>
  <c r="H268" i="1"/>
  <c r="J268" i="1" s="1"/>
  <c r="H258" i="1"/>
  <c r="J258" i="1" s="1"/>
  <c r="H253" i="1"/>
  <c r="J253" i="1" s="1"/>
  <c r="H250" i="1"/>
  <c r="J250" i="1" s="1"/>
  <c r="H261" i="1"/>
  <c r="J261" i="1" s="1"/>
  <c r="H248" i="1"/>
  <c r="J248" i="1" s="1"/>
  <c r="H238" i="1"/>
  <c r="J238" i="1" s="1"/>
  <c r="H224" i="1"/>
  <c r="J224" i="1" s="1"/>
  <c r="H213" i="1"/>
  <c r="J213" i="1" s="1"/>
  <c r="H211" i="1"/>
  <c r="J211" i="1" s="1"/>
  <c r="H203" i="1"/>
  <c r="J203" i="1" s="1"/>
  <c r="H200" i="1"/>
  <c r="J200" i="1" s="1"/>
  <c r="H181" i="1"/>
  <c r="J181" i="1" s="1"/>
  <c r="H177" i="1"/>
  <c r="J177" i="1" s="1"/>
  <c r="H175" i="1"/>
  <c r="J175" i="1" s="1"/>
  <c r="H171" i="1"/>
  <c r="J171" i="1" s="1"/>
  <c r="H166" i="1"/>
  <c r="J166" i="1" s="1"/>
  <c r="H164" i="1"/>
  <c r="J164" i="1" s="1"/>
  <c r="H157" i="1"/>
  <c r="J157" i="1" s="1"/>
  <c r="H155" i="1"/>
  <c r="J155" i="1" s="1"/>
  <c r="H149" i="1"/>
  <c r="H147" i="1"/>
  <c r="J147" i="1" s="1"/>
  <c r="H292" i="1"/>
  <c r="J292" i="1" s="1"/>
  <c r="H288" i="1"/>
  <c r="J288" i="1" s="1"/>
  <c r="H271" i="1"/>
  <c r="J271" i="1" s="1"/>
  <c r="H270" i="1"/>
  <c r="J270" i="1" s="1"/>
  <c r="H267" i="1"/>
  <c r="J267" i="1" s="1"/>
  <c r="H255" i="1"/>
  <c r="J255" i="1" s="1"/>
  <c r="H254" i="1"/>
  <c r="J254" i="1" s="1"/>
  <c r="H225" i="1"/>
  <c r="J225" i="1" s="1"/>
  <c r="H220" i="1"/>
  <c r="J220" i="1" s="1"/>
  <c r="H219" i="1"/>
  <c r="J219" i="1" s="1"/>
  <c r="H214" i="1"/>
  <c r="J214" i="1" s="1"/>
  <c r="H209" i="1"/>
  <c r="J209" i="1" s="1"/>
  <c r="H206" i="1"/>
  <c r="J206" i="1" s="1"/>
  <c r="H321" i="1"/>
  <c r="J321" i="1" s="1"/>
  <c r="H298" i="1"/>
  <c r="J298" i="1" s="1"/>
  <c r="H278" i="1"/>
  <c r="J278" i="1" s="1"/>
  <c r="H277" i="1"/>
  <c r="J277" i="1" s="1"/>
  <c r="H244" i="1"/>
  <c r="J244" i="1" s="1"/>
  <c r="H237" i="1"/>
  <c r="J237" i="1" s="1"/>
  <c r="H232" i="1"/>
  <c r="J232" i="1" s="1"/>
  <c r="H229" i="1"/>
  <c r="J229" i="1" s="1"/>
  <c r="H226" i="1"/>
  <c r="J226" i="1" s="1"/>
  <c r="H222" i="1"/>
  <c r="J222" i="1" s="1"/>
  <c r="H212" i="1"/>
  <c r="J212" i="1" s="1"/>
  <c r="H204" i="1"/>
  <c r="J204" i="1" s="1"/>
  <c r="H202" i="1"/>
  <c r="J202" i="1" s="1"/>
  <c r="H192" i="1"/>
  <c r="H176" i="1"/>
  <c r="J176" i="1" s="1"/>
  <c r="H174" i="1"/>
  <c r="J174" i="1" s="1"/>
  <c r="H167" i="1"/>
  <c r="H165" i="1"/>
  <c r="J165" i="1" s="1"/>
  <c r="H163" i="1"/>
  <c r="J163" i="1" s="1"/>
  <c r="H161" i="1"/>
  <c r="H158" i="1"/>
  <c r="J158" i="1" s="1"/>
  <c r="H156" i="1"/>
  <c r="J156" i="1" s="1"/>
  <c r="H154" i="1"/>
  <c r="J154" i="1" s="1"/>
  <c r="H151" i="1"/>
  <c r="J151" i="1" s="1"/>
  <c r="H148" i="1"/>
  <c r="J148" i="1" s="1"/>
  <c r="H146" i="1"/>
  <c r="J146" i="1" s="1"/>
  <c r="H283" i="1"/>
  <c r="J283" i="1" s="1"/>
  <c r="H242" i="1"/>
  <c r="J242" i="1" s="1"/>
  <c r="H240" i="1"/>
  <c r="J240" i="1" s="1"/>
  <c r="H234" i="1"/>
  <c r="J234" i="1" s="1"/>
  <c r="H233" i="1"/>
  <c r="H217" i="1"/>
  <c r="J217" i="1" s="1"/>
  <c r="H196" i="1"/>
  <c r="J196" i="1" s="1"/>
  <c r="H195" i="1"/>
  <c r="J195" i="1" s="1"/>
  <c r="H159" i="1"/>
  <c r="J159" i="1" s="1"/>
  <c r="H152" i="1"/>
  <c r="J152" i="1" s="1"/>
  <c r="H150" i="1"/>
  <c r="H143" i="1"/>
  <c r="J143" i="1" s="1"/>
  <c r="H263" i="1"/>
  <c r="J263" i="1" s="1"/>
  <c r="H230" i="1"/>
  <c r="J230" i="1" s="1"/>
  <c r="H207" i="1"/>
  <c r="J207" i="1" s="1"/>
  <c r="H194" i="1"/>
  <c r="H193" i="1"/>
  <c r="J193" i="1" s="1"/>
  <c r="H190" i="1"/>
  <c r="J190" i="1" s="1"/>
  <c r="H189" i="1"/>
  <c r="J189" i="1" s="1"/>
  <c r="H188" i="1"/>
  <c r="J188" i="1" s="1"/>
  <c r="H187" i="1"/>
  <c r="J187" i="1" s="1"/>
  <c r="H186" i="1"/>
  <c r="J186" i="1" s="1"/>
  <c r="H185" i="1"/>
  <c r="J185" i="1" s="1"/>
  <c r="H173" i="1"/>
  <c r="J173" i="1" s="1"/>
  <c r="H168" i="1"/>
  <c r="H144" i="1"/>
  <c r="J144" i="1" s="1"/>
  <c r="H142" i="1"/>
  <c r="J142" i="1" s="1"/>
  <c r="H241" i="1"/>
  <c r="J241" i="1" s="1"/>
  <c r="H239" i="1"/>
  <c r="J239" i="1" s="1"/>
  <c r="H227" i="1"/>
  <c r="J227" i="1" s="1"/>
  <c r="H205" i="1"/>
  <c r="J205" i="1" s="1"/>
  <c r="H201" i="1"/>
  <c r="J201" i="1" s="1"/>
  <c r="H183" i="1"/>
  <c r="J183" i="1" s="1"/>
  <c r="H180" i="1"/>
  <c r="J180" i="1" s="1"/>
  <c r="H162" i="1"/>
  <c r="J162" i="1" s="1"/>
  <c r="H264" i="1"/>
  <c r="J264" i="1" s="1"/>
  <c r="H223" i="1"/>
  <c r="J223" i="1" s="1"/>
  <c r="H199" i="1"/>
  <c r="J199" i="1" s="1"/>
  <c r="H198" i="1"/>
  <c r="J198" i="1" s="1"/>
  <c r="H178" i="1"/>
  <c r="J178" i="1" s="1"/>
  <c r="H170" i="1"/>
  <c r="J170" i="1" s="1"/>
  <c r="H179" i="1"/>
  <c r="H197" i="1"/>
  <c r="J197" i="1" s="1"/>
  <c r="H228" i="1"/>
  <c r="J228" i="1" s="1"/>
  <c r="H208" i="1"/>
  <c r="J208" i="1" s="1"/>
  <c r="H235" i="1"/>
  <c r="J235" i="1" s="1"/>
  <c r="H266" i="1"/>
  <c r="J266" i="1" s="1"/>
  <c r="H324" i="1"/>
  <c r="J324" i="1" s="1"/>
  <c r="H231" i="1"/>
  <c r="J231" i="1" s="1"/>
  <c r="H281" i="1"/>
  <c r="J281" i="1" s="1"/>
  <c r="H160" i="1"/>
  <c r="J160" i="1" s="1"/>
  <c r="H215" i="1"/>
  <c r="J215" i="1" s="1"/>
  <c r="H275" i="1"/>
  <c r="J275" i="1" s="1"/>
  <c r="H272" i="1"/>
  <c r="J272" i="1" s="1"/>
  <c r="H284" i="1"/>
  <c r="J284" i="1" s="1"/>
  <c r="H287" i="1"/>
  <c r="H307" i="1"/>
  <c r="J307" i="1" s="1"/>
  <c r="H293" i="1"/>
  <c r="J293" i="1" s="1"/>
  <c r="H314" i="1"/>
  <c r="J314" i="1" s="1"/>
  <c r="H344" i="1"/>
  <c r="H325" i="1"/>
  <c r="J325" i="1" s="1"/>
  <c r="H305" i="1"/>
  <c r="J305" i="1" s="1"/>
  <c r="H153" i="1"/>
  <c r="J153" i="1" s="1"/>
  <c r="H249" i="1"/>
  <c r="J249" i="1" s="1"/>
  <c r="H343" i="1"/>
  <c r="J343" i="1" s="1"/>
  <c r="H145" i="1"/>
  <c r="J145" i="1" s="1"/>
  <c r="H337" i="1"/>
  <c r="J337" i="1" s="1"/>
  <c r="H169" i="1"/>
  <c r="J169" i="1" s="1"/>
  <c r="H216" i="1"/>
  <c r="J216" i="1" s="1"/>
  <c r="H336" i="1"/>
  <c r="J336" i="1" s="1"/>
  <c r="H320" i="1"/>
  <c r="J320" i="1" s="1"/>
  <c r="H291" i="1"/>
  <c r="J291" i="1" s="1"/>
  <c r="H290" i="1"/>
  <c r="H308" i="1"/>
  <c r="J308" i="1" s="1"/>
  <c r="H304" i="1"/>
  <c r="H323" i="1"/>
  <c r="J323" i="1" s="1"/>
  <c r="H172" i="1"/>
  <c r="J172" i="1" s="1"/>
  <c r="H191" i="1"/>
  <c r="J191" i="1" s="1"/>
  <c r="H319" i="1"/>
  <c r="J319" i="1" s="1"/>
  <c r="H309" i="1"/>
  <c r="J309" i="1" s="1"/>
  <c r="H339" i="1"/>
  <c r="J339" i="1" s="1"/>
  <c r="H210" i="1"/>
  <c r="J210" i="1" s="1"/>
  <c r="H252" i="1"/>
  <c r="J252" i="1" s="1"/>
  <c r="H332" i="1"/>
  <c r="J332" i="1" s="1"/>
  <c r="H306" i="1"/>
  <c r="J306" i="1" s="1"/>
  <c r="N333" i="1"/>
  <c r="O333" i="1" s="1"/>
  <c r="L333" i="1"/>
  <c r="L191" i="1" l="1"/>
  <c r="N191" i="1" s="1"/>
  <c r="O191" i="1" s="1"/>
  <c r="L339" i="1"/>
  <c r="N339" i="1" s="1"/>
  <c r="O339" i="1" s="1"/>
  <c r="L216" i="1"/>
  <c r="N216" i="1" s="1"/>
  <c r="O216" i="1" s="1"/>
  <c r="L332" i="1"/>
  <c r="N332" i="1" s="1"/>
  <c r="O332" i="1" s="1"/>
  <c r="L309" i="1"/>
  <c r="N309" i="1" s="1"/>
  <c r="O309" i="1" s="1"/>
  <c r="L323" i="1"/>
  <c r="N323" i="1" s="1"/>
  <c r="O323" i="1" s="1"/>
  <c r="L291" i="1"/>
  <c r="N291" i="1"/>
  <c r="O291" i="1" s="1"/>
  <c r="L169" i="1"/>
  <c r="N169" i="1" s="1"/>
  <c r="O169" i="1" s="1"/>
  <c r="L249" i="1"/>
  <c r="N249" i="1"/>
  <c r="O249" i="1" s="1"/>
  <c r="I344" i="1"/>
  <c r="J344" i="1" s="1"/>
  <c r="I287" i="1"/>
  <c r="J287" i="1" s="1"/>
  <c r="L215" i="1"/>
  <c r="N215" i="1" s="1"/>
  <c r="O215" i="1" s="1"/>
  <c r="L324" i="1"/>
  <c r="N324" i="1" s="1"/>
  <c r="O324" i="1" s="1"/>
  <c r="L228" i="1"/>
  <c r="N228" i="1" s="1"/>
  <c r="O228" i="1" s="1"/>
  <c r="L178" i="1"/>
  <c r="N178" i="1" s="1"/>
  <c r="O178" i="1" s="1"/>
  <c r="L264" i="1"/>
  <c r="N264" i="1" s="1"/>
  <c r="O264" i="1" s="1"/>
  <c r="L201" i="1"/>
  <c r="N201" i="1" s="1"/>
  <c r="O201" i="1" s="1"/>
  <c r="L241" i="1"/>
  <c r="N241" i="1" s="1"/>
  <c r="O241" i="1" s="1"/>
  <c r="L173" i="1"/>
  <c r="N173" i="1" s="1"/>
  <c r="O173" i="1" s="1"/>
  <c r="L188" i="1"/>
  <c r="N188" i="1" s="1"/>
  <c r="O188" i="1" s="1"/>
  <c r="I194" i="1"/>
  <c r="J194" i="1" s="1"/>
  <c r="L143" i="1"/>
  <c r="N143" i="1" s="1"/>
  <c r="O143" i="1" s="1"/>
  <c r="L195" i="1"/>
  <c r="N195" i="1" s="1"/>
  <c r="O195" i="1" s="1"/>
  <c r="L234" i="1"/>
  <c r="N234" i="1" s="1"/>
  <c r="O234" i="1" s="1"/>
  <c r="L146" i="1"/>
  <c r="N146" i="1"/>
  <c r="O146" i="1" s="1"/>
  <c r="L156" i="1"/>
  <c r="N156" i="1" s="1"/>
  <c r="O156" i="1" s="1"/>
  <c r="L165" i="1"/>
  <c r="N165" i="1"/>
  <c r="O165" i="1" s="1"/>
  <c r="I192" i="1"/>
  <c r="J192" i="1" s="1"/>
  <c r="L222" i="1"/>
  <c r="N222" i="1" s="1"/>
  <c r="O222" i="1" s="1"/>
  <c r="L237" i="1"/>
  <c r="N237" i="1" s="1"/>
  <c r="O237" i="1" s="1"/>
  <c r="L298" i="1"/>
  <c r="N298" i="1" s="1"/>
  <c r="O298" i="1" s="1"/>
  <c r="L214" i="1"/>
  <c r="N214" i="1" s="1"/>
  <c r="O214" i="1" s="1"/>
  <c r="L254" i="1"/>
  <c r="N254" i="1" s="1"/>
  <c r="O254" i="1" s="1"/>
  <c r="L271" i="1"/>
  <c r="N271" i="1" s="1"/>
  <c r="O271" i="1" s="1"/>
  <c r="I149" i="1"/>
  <c r="L166" i="1"/>
  <c r="N166" i="1"/>
  <c r="O166" i="1" s="1"/>
  <c r="L181" i="1"/>
  <c r="N181" i="1" s="1"/>
  <c r="O181" i="1" s="1"/>
  <c r="L213" i="1"/>
  <c r="N213" i="1" s="1"/>
  <c r="O213" i="1" s="1"/>
  <c r="L261" i="1"/>
  <c r="N261" i="1" s="1"/>
  <c r="O261" i="1" s="1"/>
  <c r="L268" i="1"/>
  <c r="N268" i="1" s="1"/>
  <c r="O268" i="1" s="1"/>
  <c r="L328" i="1"/>
  <c r="N328" i="1" s="1"/>
  <c r="O328" i="1" s="1"/>
  <c r="L315" i="1"/>
  <c r="N315" i="1" s="1"/>
  <c r="O315" i="1" s="1"/>
  <c r="L259" i="1"/>
  <c r="N259" i="1" s="1"/>
  <c r="O259" i="1" s="1"/>
  <c r="L282" i="1"/>
  <c r="N282" i="1"/>
  <c r="O282" i="1" s="1"/>
  <c r="L311" i="1"/>
  <c r="N311" i="1" s="1"/>
  <c r="O311" i="1" s="1"/>
  <c r="I294" i="1"/>
  <c r="J294" i="1"/>
  <c r="L303" i="1"/>
  <c r="N303" i="1" s="1"/>
  <c r="O303" i="1" s="1"/>
  <c r="L327" i="1"/>
  <c r="N327" i="1" s="1"/>
  <c r="O327" i="1" s="1"/>
  <c r="I326" i="1"/>
  <c r="J326" i="1" s="1"/>
  <c r="N221" i="1"/>
  <c r="O221" i="1" s="1"/>
  <c r="L221" i="1"/>
  <c r="L184" i="1"/>
  <c r="N184" i="1" s="1"/>
  <c r="O184" i="1" s="1"/>
  <c r="N280" i="1"/>
  <c r="O280" i="1" s="1"/>
  <c r="L280" i="1"/>
  <c r="L308" i="1"/>
  <c r="N308" i="1" s="1"/>
  <c r="O308" i="1" s="1"/>
  <c r="L172" i="1"/>
  <c r="N172" i="1" s="1"/>
  <c r="O172" i="1" s="1"/>
  <c r="N343" i="1"/>
  <c r="O343" i="1" s="1"/>
  <c r="L343" i="1"/>
  <c r="L252" i="1"/>
  <c r="N252" i="1" s="1"/>
  <c r="O252" i="1" s="1"/>
  <c r="L319" i="1"/>
  <c r="N319" i="1" s="1"/>
  <c r="O319" i="1" s="1"/>
  <c r="J304" i="1"/>
  <c r="I304" i="1"/>
  <c r="L320" i="1"/>
  <c r="N320" i="1" s="1"/>
  <c r="O320" i="1" s="1"/>
  <c r="L337" i="1"/>
  <c r="N337" i="1" s="1"/>
  <c r="O337" i="1" s="1"/>
  <c r="L153" i="1"/>
  <c r="N153" i="1" s="1"/>
  <c r="O153" i="1" s="1"/>
  <c r="N314" i="1"/>
  <c r="O314" i="1" s="1"/>
  <c r="L314" i="1"/>
  <c r="N284" i="1"/>
  <c r="O284" i="1" s="1"/>
  <c r="L284" i="1"/>
  <c r="L160" i="1"/>
  <c r="N160" i="1" s="1"/>
  <c r="O160" i="1" s="1"/>
  <c r="L266" i="1"/>
  <c r="N266" i="1" s="1"/>
  <c r="O266" i="1" s="1"/>
  <c r="L197" i="1"/>
  <c r="N197" i="1" s="1"/>
  <c r="O197" i="1" s="1"/>
  <c r="N198" i="1"/>
  <c r="O198" i="1" s="1"/>
  <c r="L198" i="1"/>
  <c r="L162" i="1"/>
  <c r="N162" i="1" s="1"/>
  <c r="O162" i="1" s="1"/>
  <c r="N205" i="1"/>
  <c r="O205" i="1" s="1"/>
  <c r="L205" i="1"/>
  <c r="L142" i="1"/>
  <c r="N142" i="1" s="1"/>
  <c r="O142" i="1" s="1"/>
  <c r="N185" i="1"/>
  <c r="O185" i="1" s="1"/>
  <c r="L185" i="1"/>
  <c r="L189" i="1"/>
  <c r="N189" i="1" s="1"/>
  <c r="O189" i="1" s="1"/>
  <c r="N207" i="1"/>
  <c r="O207" i="1" s="1"/>
  <c r="L207" i="1"/>
  <c r="I150" i="1"/>
  <c r="J150" i="1" s="1"/>
  <c r="L196" i="1"/>
  <c r="N196" i="1" s="1"/>
  <c r="O196" i="1" s="1"/>
  <c r="N240" i="1"/>
  <c r="O240" i="1" s="1"/>
  <c r="L240" i="1"/>
  <c r="L148" i="1"/>
  <c r="N148" i="1" s="1"/>
  <c r="O148" i="1" s="1"/>
  <c r="L158" i="1"/>
  <c r="N158" i="1" s="1"/>
  <c r="O158" i="1" s="1"/>
  <c r="J167" i="1"/>
  <c r="I167" i="1"/>
  <c r="L202" i="1"/>
  <c r="N202" i="1" s="1"/>
  <c r="O202" i="1" s="1"/>
  <c r="L226" i="1"/>
  <c r="N226" i="1" s="1"/>
  <c r="O226" i="1" s="1"/>
  <c r="N244" i="1"/>
  <c r="O244" i="1" s="1"/>
  <c r="L244" i="1"/>
  <c r="L321" i="1"/>
  <c r="N321" i="1" s="1"/>
  <c r="O321" i="1" s="1"/>
  <c r="N219" i="1"/>
  <c r="O219" i="1" s="1"/>
  <c r="L219" i="1"/>
  <c r="L255" i="1"/>
  <c r="N255" i="1" s="1"/>
  <c r="O255" i="1" s="1"/>
  <c r="N288" i="1"/>
  <c r="O288" i="1" s="1"/>
  <c r="L288" i="1"/>
  <c r="L155" i="1"/>
  <c r="N155" i="1" s="1"/>
  <c r="O155" i="1" s="1"/>
  <c r="L171" i="1"/>
  <c r="N171" i="1" s="1"/>
  <c r="O171" i="1" s="1"/>
  <c r="L200" i="1"/>
  <c r="N200" i="1" s="1"/>
  <c r="O200" i="1" s="1"/>
  <c r="L224" i="1"/>
  <c r="N224" i="1" s="1"/>
  <c r="O224" i="1" s="1"/>
  <c r="L250" i="1"/>
  <c r="N250" i="1" s="1"/>
  <c r="O250" i="1" s="1"/>
  <c r="L273" i="1"/>
  <c r="N273" i="1" s="1"/>
  <c r="O273" i="1" s="1"/>
  <c r="L335" i="1"/>
  <c r="N335" i="1" s="1"/>
  <c r="O335" i="1" s="1"/>
  <c r="N342" i="1"/>
  <c r="O342" i="1" s="1"/>
  <c r="L342" i="1"/>
  <c r="L262" i="1"/>
  <c r="N262" i="1" s="1"/>
  <c r="O262" i="1" s="1"/>
  <c r="L317" i="1"/>
  <c r="N317" i="1" s="1"/>
  <c r="O317" i="1" s="1"/>
  <c r="L330" i="1"/>
  <c r="N330" i="1" s="1"/>
  <c r="O330" i="1" s="1"/>
  <c r="L297" i="1"/>
  <c r="N297" i="1" s="1"/>
  <c r="O297" i="1" s="1"/>
  <c r="N313" i="1"/>
  <c r="O313" i="1" s="1"/>
  <c r="L313" i="1"/>
  <c r="L329" i="1"/>
  <c r="N329" i="1" s="1"/>
  <c r="O329" i="1" s="1"/>
  <c r="N331" i="1"/>
  <c r="O331" i="1" s="1"/>
  <c r="L331" i="1"/>
  <c r="L247" i="1"/>
  <c r="N247" i="1" s="1"/>
  <c r="O247" i="1" s="1"/>
  <c r="L285" i="1"/>
  <c r="N285" i="1" s="1"/>
  <c r="O285" i="1" s="1"/>
  <c r="L246" i="1"/>
  <c r="N246" i="1" s="1"/>
  <c r="O246" i="1" s="1"/>
  <c r="L265" i="1"/>
  <c r="N265" i="1" s="1"/>
  <c r="O265" i="1" s="1"/>
  <c r="L210" i="1"/>
  <c r="N210" i="1" s="1"/>
  <c r="O210" i="1" s="1"/>
  <c r="N336" i="1"/>
  <c r="O336" i="1" s="1"/>
  <c r="L336" i="1"/>
  <c r="L145" i="1"/>
  <c r="N145" i="1" s="1"/>
  <c r="O145" i="1" s="1"/>
  <c r="N305" i="1"/>
  <c r="O305" i="1" s="1"/>
  <c r="L305" i="1"/>
  <c r="L293" i="1"/>
  <c r="N293" i="1" s="1"/>
  <c r="O293" i="1" s="1"/>
  <c r="L272" i="1"/>
  <c r="N272" i="1" s="1"/>
  <c r="O272" i="1" s="1"/>
  <c r="L281" i="1"/>
  <c r="N281" i="1" s="1"/>
  <c r="O281" i="1" s="1"/>
  <c r="L235" i="1"/>
  <c r="N235" i="1" s="1"/>
  <c r="O235" i="1" s="1"/>
  <c r="J179" i="1"/>
  <c r="I179" i="1"/>
  <c r="L199" i="1"/>
  <c r="N199" i="1" s="1"/>
  <c r="O199" i="1" s="1"/>
  <c r="N180" i="1"/>
  <c r="O180" i="1" s="1"/>
  <c r="L180" i="1"/>
  <c r="L227" i="1"/>
  <c r="N227" i="1" s="1"/>
  <c r="O227" i="1" s="1"/>
  <c r="N144" i="1"/>
  <c r="O144" i="1" s="1"/>
  <c r="L144" i="1"/>
  <c r="L186" i="1"/>
  <c r="N186" i="1" s="1"/>
  <c r="O186" i="1" s="1"/>
  <c r="N190" i="1"/>
  <c r="O190" i="1" s="1"/>
  <c r="L190" i="1"/>
  <c r="L230" i="1"/>
  <c r="N230" i="1" s="1"/>
  <c r="O230" i="1" s="1"/>
  <c r="N152" i="1"/>
  <c r="O152" i="1" s="1"/>
  <c r="L152" i="1"/>
  <c r="L217" i="1"/>
  <c r="N217" i="1" s="1"/>
  <c r="O217" i="1" s="1"/>
  <c r="N242" i="1"/>
  <c r="O242" i="1" s="1"/>
  <c r="L242" i="1"/>
  <c r="L151" i="1"/>
  <c r="N151" i="1" s="1"/>
  <c r="O151" i="1" s="1"/>
  <c r="I161" i="1"/>
  <c r="J161" i="1" s="1"/>
  <c r="L174" i="1"/>
  <c r="N174" i="1" s="1"/>
  <c r="O174" i="1" s="1"/>
  <c r="L204" i="1"/>
  <c r="N204" i="1" s="1"/>
  <c r="O204" i="1" s="1"/>
  <c r="L229" i="1"/>
  <c r="N229" i="1" s="1"/>
  <c r="O229" i="1" s="1"/>
  <c r="N277" i="1"/>
  <c r="O277" i="1" s="1"/>
  <c r="L277" i="1"/>
  <c r="L206" i="1"/>
  <c r="N206" i="1" s="1"/>
  <c r="O206" i="1" s="1"/>
  <c r="N220" i="1"/>
  <c r="O220" i="1" s="1"/>
  <c r="L220" i="1"/>
  <c r="L267" i="1"/>
  <c r="N267" i="1" s="1"/>
  <c r="O267" i="1" s="1"/>
  <c r="N292" i="1"/>
  <c r="O292" i="1" s="1"/>
  <c r="L292" i="1"/>
  <c r="L157" i="1"/>
  <c r="N157" i="1" s="1"/>
  <c r="O157" i="1" s="1"/>
  <c r="L175" i="1"/>
  <c r="N175" i="1" s="1"/>
  <c r="O175" i="1" s="1"/>
  <c r="N203" i="1"/>
  <c r="O203" i="1" s="1"/>
  <c r="L203" i="1"/>
  <c r="L238" i="1"/>
  <c r="N238" i="1" s="1"/>
  <c r="O238" i="1" s="1"/>
  <c r="L253" i="1"/>
  <c r="N253" i="1" s="1"/>
  <c r="O253" i="1" s="1"/>
  <c r="L279" i="1"/>
  <c r="N279" i="1" s="1"/>
  <c r="O279" i="1" s="1"/>
  <c r="L341" i="1"/>
  <c r="N341" i="1" s="1"/>
  <c r="O341" i="1" s="1"/>
  <c r="L243" i="1"/>
  <c r="N243" i="1" s="1"/>
  <c r="O243" i="1" s="1"/>
  <c r="L269" i="1"/>
  <c r="N269" i="1" s="1"/>
  <c r="O269" i="1" s="1"/>
  <c r="L286" i="1"/>
  <c r="N286" i="1" s="1"/>
  <c r="O286" i="1" s="1"/>
  <c r="L340" i="1"/>
  <c r="N340" i="1" s="1"/>
  <c r="O340" i="1" s="1"/>
  <c r="L299" i="1"/>
  <c r="N299" i="1" s="1"/>
  <c r="O299" i="1" s="1"/>
  <c r="L316" i="1"/>
  <c r="N316" i="1" s="1"/>
  <c r="O316" i="1" s="1"/>
  <c r="L296" i="1"/>
  <c r="N296" i="1" s="1"/>
  <c r="O296" i="1" s="1"/>
  <c r="L236" i="1"/>
  <c r="N236" i="1" s="1"/>
  <c r="O236" i="1" s="1"/>
  <c r="L338" i="1"/>
  <c r="N338" i="1" s="1"/>
  <c r="O338" i="1" s="1"/>
  <c r="L256" i="1"/>
  <c r="N256" i="1" s="1"/>
  <c r="O256" i="1" s="1"/>
  <c r="L322" i="1"/>
  <c r="N322" i="1" s="1"/>
  <c r="O322" i="1" s="1"/>
  <c r="N306" i="1"/>
  <c r="O306" i="1" s="1"/>
  <c r="L306" i="1"/>
  <c r="I290" i="1"/>
  <c r="J290" i="1" s="1"/>
  <c r="L325" i="1"/>
  <c r="N325" i="1" s="1"/>
  <c r="O325" i="1" s="1"/>
  <c r="L307" i="1"/>
  <c r="N307" i="1" s="1"/>
  <c r="O307" i="1" s="1"/>
  <c r="L275" i="1"/>
  <c r="N275" i="1" s="1"/>
  <c r="O275" i="1" s="1"/>
  <c r="L231" i="1"/>
  <c r="N231" i="1" s="1"/>
  <c r="O231" i="1" s="1"/>
  <c r="N208" i="1"/>
  <c r="O208" i="1" s="1"/>
  <c r="L208" i="1"/>
  <c r="L170" i="1"/>
  <c r="N170" i="1" s="1"/>
  <c r="O170" i="1" s="1"/>
  <c r="N223" i="1"/>
  <c r="O223" i="1" s="1"/>
  <c r="L223" i="1"/>
  <c r="L183" i="1"/>
  <c r="N183" i="1" s="1"/>
  <c r="O183" i="1" s="1"/>
  <c r="N239" i="1"/>
  <c r="O239" i="1" s="1"/>
  <c r="L239" i="1"/>
  <c r="I168" i="1"/>
  <c r="J168" i="1" s="1"/>
  <c r="N187" i="1"/>
  <c r="O187" i="1" s="1"/>
  <c r="L187" i="1"/>
  <c r="L193" i="1"/>
  <c r="N193" i="1" s="1"/>
  <c r="O193" i="1" s="1"/>
  <c r="N263" i="1"/>
  <c r="O263" i="1" s="1"/>
  <c r="L263" i="1"/>
  <c r="L159" i="1"/>
  <c r="N159" i="1" s="1"/>
  <c r="O159" i="1" s="1"/>
  <c r="J233" i="1"/>
  <c r="I233" i="1"/>
  <c r="L283" i="1"/>
  <c r="N283" i="1" s="1"/>
  <c r="O283" i="1" s="1"/>
  <c r="L154" i="1"/>
  <c r="N154" i="1" s="1"/>
  <c r="O154" i="1" s="1"/>
  <c r="L163" i="1"/>
  <c r="N163" i="1" s="1"/>
  <c r="O163" i="1" s="1"/>
  <c r="L176" i="1"/>
  <c r="N176" i="1" s="1"/>
  <c r="O176" i="1" s="1"/>
  <c r="L212" i="1"/>
  <c r="N212" i="1" s="1"/>
  <c r="O212" i="1" s="1"/>
  <c r="L232" i="1"/>
  <c r="N232" i="1" s="1"/>
  <c r="O232" i="1" s="1"/>
  <c r="N278" i="1"/>
  <c r="O278" i="1" s="1"/>
  <c r="L278" i="1"/>
  <c r="L209" i="1"/>
  <c r="N209" i="1" s="1"/>
  <c r="O209" i="1" s="1"/>
  <c r="N225" i="1"/>
  <c r="O225" i="1" s="1"/>
  <c r="L225" i="1"/>
  <c r="L270" i="1"/>
  <c r="N270" i="1" s="1"/>
  <c r="O270" i="1" s="1"/>
  <c r="L147" i="1"/>
  <c r="N147" i="1" s="1"/>
  <c r="O147" i="1" s="1"/>
  <c r="L164" i="1"/>
  <c r="N164" i="1" s="1"/>
  <c r="O164" i="1" s="1"/>
  <c r="L177" i="1"/>
  <c r="N177" i="1" s="1"/>
  <c r="O177" i="1" s="1"/>
  <c r="L211" i="1"/>
  <c r="N211" i="1" s="1"/>
  <c r="O211" i="1" s="1"/>
  <c r="L248" i="1"/>
  <c r="N248" i="1" s="1"/>
  <c r="O248" i="1" s="1"/>
  <c r="L258" i="1"/>
  <c r="N258" i="1" s="1"/>
  <c r="O258" i="1" s="1"/>
  <c r="N300" i="1"/>
  <c r="O300" i="1" s="1"/>
  <c r="L300" i="1"/>
  <c r="L302" i="1"/>
  <c r="N302" i="1" s="1"/>
  <c r="O302" i="1" s="1"/>
  <c r="L257" i="1"/>
  <c r="N257" i="1" s="1"/>
  <c r="O257" i="1" s="1"/>
  <c r="I274" i="1"/>
  <c r="J274" i="1" s="1"/>
  <c r="L295" i="1"/>
  <c r="N295" i="1" s="1"/>
  <c r="O295" i="1" s="1"/>
  <c r="N289" i="1"/>
  <c r="O289" i="1" s="1"/>
  <c r="L289" i="1"/>
  <c r="L301" i="1"/>
  <c r="N301" i="1" s="1"/>
  <c r="O301" i="1" s="1"/>
  <c r="N318" i="1"/>
  <c r="O318" i="1" s="1"/>
  <c r="L318" i="1"/>
  <c r="L310" i="1"/>
  <c r="N310" i="1" s="1"/>
  <c r="O310" i="1" s="1"/>
  <c r="N245" i="1"/>
  <c r="O245" i="1" s="1"/>
  <c r="L245" i="1"/>
  <c r="L345" i="1"/>
  <c r="N345" i="1" s="1"/>
  <c r="O345" i="1" s="1"/>
  <c r="N276" i="1"/>
  <c r="O276" i="1" s="1"/>
  <c r="L276" i="1"/>
  <c r="L260" i="1"/>
  <c r="N260" i="1" s="1"/>
  <c r="O260" i="1" s="1"/>
  <c r="L192" i="1" l="1"/>
  <c r="N192" i="1" s="1"/>
  <c r="O192" i="1" s="1"/>
  <c r="L168" i="1"/>
  <c r="N168" i="1"/>
  <c r="O168" i="1" s="1"/>
  <c r="L150" i="1"/>
  <c r="N150" i="1" s="1"/>
  <c r="O150" i="1" s="1"/>
  <c r="L326" i="1"/>
  <c r="N326" i="1" s="1"/>
  <c r="O326" i="1" s="1"/>
  <c r="L287" i="1"/>
  <c r="N287" i="1" s="1"/>
  <c r="O287" i="1" s="1"/>
  <c r="L290" i="1"/>
  <c r="N290" i="1" s="1"/>
  <c r="O290" i="1" s="1"/>
  <c r="L179" i="1"/>
  <c r="N179" i="1" s="1"/>
  <c r="L304" i="1"/>
  <c r="N304" i="1" s="1"/>
  <c r="O304" i="1" s="1"/>
  <c r="L294" i="1"/>
  <c r="N294" i="1" s="1"/>
  <c r="O294" i="1" s="1"/>
  <c r="L344" i="1"/>
  <c r="N344" i="1" s="1"/>
  <c r="O344" i="1" s="1"/>
  <c r="L161" i="1"/>
  <c r="N161" i="1" s="1"/>
  <c r="O161" i="1" s="1"/>
  <c r="N167" i="1"/>
  <c r="O167" i="1" s="1"/>
  <c r="L167" i="1"/>
  <c r="I346" i="1"/>
  <c r="J346" i="1" s="1"/>
  <c r="L194" i="1"/>
  <c r="N194" i="1"/>
  <c r="O194" i="1" s="1"/>
  <c r="L274" i="1"/>
  <c r="N274" i="1" s="1"/>
  <c r="O274" i="1" s="1"/>
  <c r="L233" i="1"/>
  <c r="N233" i="1"/>
  <c r="O233" i="1" s="1"/>
  <c r="J149" i="1"/>
  <c r="L346" i="1" l="1"/>
  <c r="N346" i="1" s="1"/>
  <c r="N347" i="1" s="1"/>
  <c r="L149" i="1"/>
  <c r="N149" i="1" s="1"/>
  <c r="O149" i="1" s="1"/>
  <c r="O346" i="1" s="1"/>
</calcChain>
</file>

<file path=xl/sharedStrings.xml><?xml version="1.0" encoding="utf-8"?>
<sst xmlns="http://schemas.openxmlformats.org/spreadsheetml/2006/main" count="191" uniqueCount="147">
  <si>
    <r>
      <t xml:space="preserve">             </t>
    </r>
    <r>
      <rPr>
        <b/>
        <i/>
        <u/>
        <sz val="22"/>
        <rFont val="Times New Roman"/>
        <family val="1"/>
      </rPr>
      <t>EDIFICIO DE COPROPIEDAD TORRE ANTARES</t>
    </r>
  </si>
  <si>
    <t>EDIFICIO DE COPROPIEDAD TORRE ANTARES</t>
  </si>
  <si>
    <t>GASTOS COMUNES PERIODO</t>
  </si>
  <si>
    <t>SETIEMBRE A NOVIEMBRE 2019</t>
  </si>
  <si>
    <t>EGRESOS</t>
  </si>
  <si>
    <t>Junio a Agosto 2019</t>
  </si>
  <si>
    <t>PESOS URUGUAYOS</t>
  </si>
  <si>
    <t>EMPLEADOS SALARIOS LIQUIDOS y OTROS CONCEPTOS</t>
  </si>
  <si>
    <t>Junio</t>
  </si>
  <si>
    <t>Julio</t>
  </si>
  <si>
    <t>Agosto</t>
  </si>
  <si>
    <t>TOTALES</t>
  </si>
  <si>
    <t>% GASTOS</t>
  </si>
  <si>
    <t>Recepcionista Marcelo Ureta</t>
  </si>
  <si>
    <t>Retención Judicial</t>
  </si>
  <si>
    <t>Medio Aguinaldo</t>
  </si>
  <si>
    <t>Recepcionista Candelaria Signorino</t>
  </si>
  <si>
    <t>Licencia y Salario Vacacional</t>
  </si>
  <si>
    <t>Recepcionista Matías Cabrera Santos</t>
  </si>
  <si>
    <t>Recepcionista Matías Aispuro</t>
  </si>
  <si>
    <t>Recepcionista Mauricio Piriz</t>
  </si>
  <si>
    <t>Mantenimiento José Luis Teijeiro</t>
  </si>
  <si>
    <t xml:space="preserve">Mantenimiento Hector Machado </t>
  </si>
  <si>
    <t>Mucama Andrea Lima</t>
  </si>
  <si>
    <t xml:space="preserve">Mucama Carrasco Daniela Elizabeth </t>
  </si>
  <si>
    <t>Mucama María del Carmen Egures</t>
  </si>
  <si>
    <t>Mucama Maria Natalia Carballo</t>
  </si>
  <si>
    <t>Recepcionista Brandon Caporal</t>
  </si>
  <si>
    <t>Recepcionista Luis Lopez</t>
  </si>
  <si>
    <t>Tickets alimentación personal</t>
  </si>
  <si>
    <t>BPS Aportes Patronales y Obreros</t>
  </si>
  <si>
    <t>B.S.E. Seguro de Accidentes</t>
  </si>
  <si>
    <t>UTE</t>
  </si>
  <si>
    <t>ANTEL</t>
  </si>
  <si>
    <t>OSE</t>
  </si>
  <si>
    <t>Artículos de Limpieza</t>
  </si>
  <si>
    <t>Correspondencia</t>
  </si>
  <si>
    <t>Papelería, Fotocopias, Sobres</t>
  </si>
  <si>
    <t>Honorarios Administración</t>
  </si>
  <si>
    <t>IVA</t>
  </si>
  <si>
    <t>Bancos</t>
  </si>
  <si>
    <t>Sevice Ascensores</t>
  </si>
  <si>
    <t>Servicio Soporte Software, Telefonía y ciber</t>
  </si>
  <si>
    <t>Articulos Equipamiento Recepcion e insumos</t>
  </si>
  <si>
    <t xml:space="preserve">Articulos Equipamiento y servicios Parrillero </t>
  </si>
  <si>
    <t>Cloro y artículos piscina</t>
  </si>
  <si>
    <t>Barraca y Ferretería</t>
  </si>
  <si>
    <t>Aluminios,Vidrieria y Carteleria</t>
  </si>
  <si>
    <t>Electricidad</t>
  </si>
  <si>
    <t>Volqueta</t>
  </si>
  <si>
    <t>Trabajos contratados</t>
  </si>
  <si>
    <t>Honorarios , Gastos e IVA Escribano</t>
  </si>
  <si>
    <t>Honorarios e IVA Auditoría Externa</t>
  </si>
  <si>
    <t>Honorarios e IVA Gestor</t>
  </si>
  <si>
    <t>Jardinería Plantas e insumos</t>
  </si>
  <si>
    <t>Trabajos y materiales de carpintería</t>
  </si>
  <si>
    <t>Pagos Particulares Propietarios</t>
  </si>
  <si>
    <t>Devolución de créditos y Cheques</t>
  </si>
  <si>
    <t>T  O  T  A  L  E  S</t>
  </si>
  <si>
    <t>DOLARES AMERICANOS</t>
  </si>
  <si>
    <t>T  O  T  A  L</t>
  </si>
  <si>
    <t>CAMBIO DE MONEDA PARA PAGOS</t>
  </si>
  <si>
    <t>BANCO y SERVICIO BANCOMAT</t>
  </si>
  <si>
    <t>TRABAJOS  CONTRATADOS</t>
  </si>
  <si>
    <t>EQUIPAMIENTO VARIOS RECEPCION Y GIMNASIO</t>
  </si>
  <si>
    <t>NUEVA PAGINA WEB EDIFICIO ANTARES</t>
  </si>
  <si>
    <t>CAMBIO DE MEDIDORES UTE</t>
  </si>
  <si>
    <t>INSUMOS Y COMPRAS INTERNET, PORTEROS Y CAMARAS</t>
  </si>
  <si>
    <t>INGRESOS</t>
  </si>
  <si>
    <t>SALDO EJERCICIO ANTERIOR</t>
  </si>
  <si>
    <t xml:space="preserve">COBRADO POR GASTOS COMUNES </t>
  </si>
  <si>
    <t>OTROS INGRESOS (transferencia-reintegros)</t>
  </si>
  <si>
    <t>CAMBIO DE DOLARES</t>
  </si>
  <si>
    <t>ENTRADO DE CAJA EFECTIVO</t>
  </si>
  <si>
    <t>REINTEGROS</t>
  </si>
  <si>
    <t>TOTALES PESOS URUGUAYOS</t>
  </si>
  <si>
    <t>SALDO DEL EDIFICIO</t>
  </si>
  <si>
    <t>DOLARES USA</t>
  </si>
  <si>
    <t>COBRADO POR GASTOS COMUNES y OTROS CONCEPTOS</t>
  </si>
  <si>
    <t>TRANSFERENCIAS Y OTROS REINTEGROS</t>
  </si>
  <si>
    <t>TOTAL DOLARES USA</t>
  </si>
  <si>
    <t>CAJA EFECTIVO</t>
  </si>
  <si>
    <t xml:space="preserve">Julio </t>
  </si>
  <si>
    <t xml:space="preserve">SALDO INICIAL </t>
  </si>
  <si>
    <t>% ingresos</t>
  </si>
  <si>
    <t>TOT. RUBRO</t>
  </si>
  <si>
    <t>INGRESOS POR CONSUMOS TELEFONICOS</t>
  </si>
  <si>
    <t>INGRESOS POR ALQUILER PARRILLA</t>
  </si>
  <si>
    <t>SALD ANT</t>
  </si>
  <si>
    <t>INGRESOS CONSUMO OSE LAVADERO</t>
  </si>
  <si>
    <t>INGRESOS CIBER CAFÉ Y SALA DE JUEGOS</t>
  </si>
  <si>
    <t>INGRESO PAGO ALQUILER COCHERAS</t>
  </si>
  <si>
    <t>SALIDAS</t>
  </si>
  <si>
    <t>INGRESO VENTA GAS</t>
  </si>
  <si>
    <t>INGRESOS SALA MUSCULACION</t>
  </si>
  <si>
    <t>GANANCIA</t>
  </si>
  <si>
    <t>OTROS INGRESOS</t>
  </si>
  <si>
    <t>PAGOS y TRASPASOS DE FONDOS A CUENTA CORRIENTE</t>
  </si>
  <si>
    <t>SALDO</t>
  </si>
  <si>
    <t>SALDO CAJA DEL EDIFICIO</t>
  </si>
  <si>
    <t>DISTRIBUCION DE GASTOS COMUNES POR UNIDAD EDIFICIO TORRE ANTARES</t>
  </si>
  <si>
    <t>MESES</t>
  </si>
  <si>
    <t>UNIDADES</t>
  </si>
  <si>
    <t>TOTAL MUCAMAS</t>
  </si>
  <si>
    <t>G. $</t>
  </si>
  <si>
    <t>GAS. TOT. $</t>
  </si>
  <si>
    <t>TOTAL GARAGE</t>
  </si>
  <si>
    <t>CUOTA</t>
  </si>
  <si>
    <t>CAMBIO</t>
  </si>
  <si>
    <t>G. U$S</t>
  </si>
  <si>
    <t>GAS + BON.</t>
  </si>
  <si>
    <t>APARTAMENTOS</t>
  </si>
  <si>
    <t>RECUPERO</t>
  </si>
  <si>
    <t>Pesos</t>
  </si>
  <si>
    <t>U$S</t>
  </si>
  <si>
    <t>UNIDAD</t>
  </si>
  <si>
    <t>METROS</t>
  </si>
  <si>
    <t>SALDO ANT.</t>
  </si>
  <si>
    <t xml:space="preserve"> SU PAGO</t>
  </si>
  <si>
    <t>PAGO ANT.</t>
  </si>
  <si>
    <t>MUCAMAS</t>
  </si>
  <si>
    <t>COCHERA</t>
  </si>
  <si>
    <t>EXPENSAS</t>
  </si>
  <si>
    <t>SUBTOTAL</t>
  </si>
  <si>
    <t>VARIOS</t>
  </si>
  <si>
    <t>BONIFICA</t>
  </si>
  <si>
    <t>DEUDA ANT.</t>
  </si>
  <si>
    <t>0.01</t>
  </si>
  <si>
    <t>0.02</t>
  </si>
  <si>
    <t>0.03</t>
  </si>
  <si>
    <t>0.04</t>
  </si>
  <si>
    <t>0.05</t>
  </si>
  <si>
    <t>0.06</t>
  </si>
  <si>
    <t>0.07</t>
  </si>
  <si>
    <t>0.08</t>
  </si>
  <si>
    <t>0.09</t>
  </si>
  <si>
    <t xml:space="preserve">TOTAL </t>
  </si>
  <si>
    <r>
      <t>NOTAS:</t>
    </r>
    <r>
      <rPr>
        <sz val="10"/>
        <rFont val="Arial"/>
        <family val="2"/>
      </rPr>
      <t xml:space="preserve"> En la liquidación de gastos comunes que se acompaña se aclara que:</t>
    </r>
  </si>
  <si>
    <r>
      <t>DÓLAR.-</t>
    </r>
    <r>
      <rPr>
        <sz val="10"/>
        <rFont val="Arial"/>
        <family val="2"/>
      </rPr>
      <t xml:space="preserve"> El tipo de cambio del dólar tomado para el pago de los gastos comunes en la presente liquidación es:</t>
    </r>
  </si>
  <si>
    <r>
      <t>SUBTOTAL</t>
    </r>
    <r>
      <rPr>
        <sz val="10"/>
        <rFont val="Arial"/>
        <family val="2"/>
      </rPr>
      <t xml:space="preserve"> - Significa el importe de gastos comunes sin bonificación para aquellos pagos que se efectúen con posterioridad del día del vencimiento.</t>
    </r>
  </si>
  <si>
    <r>
      <t>TOTAL</t>
    </r>
    <r>
      <rPr>
        <sz val="10"/>
        <rFont val="Arial"/>
        <family val="2"/>
      </rPr>
      <t xml:space="preserve"> - Significa el importe de gastos comunes con un 20% de bonificación para aquellos pagos que se efectúen antes del día del vencimiento.</t>
    </r>
  </si>
  <si>
    <t>* La liquidación que antecede y los importes expresados corresponden al trimestre considerado, ya que las expensas se calculan sobre gastos reales de</t>
  </si>
  <si>
    <t xml:space="preserve">acuerdo al coeficiente de cada unidad, pudiendo ser abonadas en Pesos Uruguayos o Dólares USA, para lo cual se proporcionan en la liquidación las </t>
  </si>
  <si>
    <t>columnas correspondientes con los importes en cada moneda de pago.</t>
  </si>
  <si>
    <t>Las Unidades 306, 706, 803, 910, y 1008 tienen incorporados en la colunma Varios el pago de Impuesto a Primaria</t>
  </si>
  <si>
    <t>FECHA DE VENCIMIENTO</t>
  </si>
  <si>
    <t>20 de SETIEMBRE de 2019 inclusive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</si>
</sst>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€_-;\-* #,##0\ _€_-;_-* &quot;-&quot;\ _€_-;_-@_-"/>
    <numFmt numFmtId="43" formatCode="_-* #,##0.00\ _€_-;\-* #,##0.00\ _€_-;_-* &quot;-&quot;??\ _€_-;_-@_-"/>
    <numFmt numFmtId="164" formatCode="_ * #,##0.00_ ;_ * \-#,##0.00_ ;_ * &quot;-&quot;??_ ;_ @_ "/>
    <numFmt numFmtId="165" formatCode="_ * #,##0.00_ ;_ * \-#,##0.00_ ;_ * &quot;-&quot;_ ;_ @_ "/>
    <numFmt numFmtId="166" formatCode="_ * #,##0_ ;_ * \-#,##0_ ;_ * &quot;-&quot;??_ ;_ @_ "/>
    <numFmt numFmtId="167" formatCode="_-* #,##0.00\ _p_t_a_-;\-* #,##0.00\ _p_t_a_-;_-* &quot;-&quot;??\ _p_t_a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3"/>
      <name val="Arial"/>
      <family val="2"/>
    </font>
    <font>
      <b/>
      <u/>
      <sz val="14"/>
      <name val="Arial"/>
      <family val="2"/>
    </font>
    <font>
      <b/>
      <u/>
      <sz val="16"/>
      <name val="Times New Roman"/>
      <family val="1"/>
    </font>
    <font>
      <b/>
      <i/>
      <sz val="22"/>
      <name val="Times New Roman"/>
      <family val="1"/>
    </font>
    <font>
      <b/>
      <i/>
      <u/>
      <sz val="22"/>
      <name val="Times New Roman"/>
      <family val="1"/>
    </font>
    <font>
      <b/>
      <i/>
      <u/>
      <sz val="16"/>
      <name val="Times New Roman"/>
      <family val="1"/>
    </font>
    <font>
      <b/>
      <u/>
      <sz val="12"/>
      <name val="Arial"/>
      <family val="2"/>
    </font>
    <font>
      <u/>
      <sz val="10"/>
      <name val="Arial"/>
      <family val="2"/>
    </font>
    <font>
      <b/>
      <i/>
      <u/>
      <sz val="11"/>
      <name val="Times New Roman"/>
      <family val="1"/>
    </font>
    <font>
      <b/>
      <i/>
      <u/>
      <sz val="12"/>
      <name val="Times New Roman"/>
      <family val="1"/>
    </font>
    <font>
      <sz val="12"/>
      <name val="Arial"/>
      <family val="2"/>
    </font>
    <font>
      <b/>
      <u/>
      <sz val="12"/>
      <name val="Arial Black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2"/>
      <name val="Arial"/>
      <family val="2"/>
    </font>
    <font>
      <b/>
      <i/>
      <u/>
      <sz val="10"/>
      <name val="Times New Roman"/>
      <family val="1"/>
    </font>
    <font>
      <b/>
      <u/>
      <sz val="11"/>
      <name val="Arial"/>
      <family val="2"/>
    </font>
    <font>
      <i/>
      <sz val="12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u/>
      <sz val="12"/>
      <name val="Arial Black"/>
      <family val="2"/>
    </font>
    <font>
      <b/>
      <u val="singleAccounting"/>
      <sz val="12"/>
      <name val="Arial"/>
      <family val="2"/>
    </font>
    <font>
      <b/>
      <i/>
      <u val="singleAccounting"/>
      <sz val="10"/>
      <name val="Times New Roman"/>
      <family val="1"/>
    </font>
    <font>
      <b/>
      <sz val="9"/>
      <name val="Arial"/>
      <family val="2"/>
    </font>
    <font>
      <b/>
      <strike/>
      <sz val="9"/>
      <name val="Arial"/>
      <family val="2"/>
    </font>
    <font>
      <u val="singleAccounting"/>
      <sz val="9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u/>
      <sz val="7"/>
      <name val="Arial"/>
      <family val="2"/>
    </font>
    <font>
      <u/>
      <sz val="8"/>
      <name val="Arial"/>
      <family val="2"/>
    </font>
    <font>
      <b/>
      <u/>
      <sz val="9"/>
      <name val="Arial"/>
      <family val="2"/>
    </font>
    <font>
      <u/>
      <sz val="6"/>
      <name val="Arial"/>
      <family val="2"/>
    </font>
    <font>
      <sz val="8"/>
      <color indexed="10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43" fontId="21" fillId="0" borderId="0" xfId="1" applyFont="1"/>
    <xf numFmtId="43" fontId="0" fillId="0" borderId="0" xfId="1" applyFont="1"/>
    <xf numFmtId="165" fontId="21" fillId="0" borderId="0" xfId="2" applyNumberFormat="1" applyFont="1"/>
    <xf numFmtId="43" fontId="22" fillId="0" borderId="0" xfId="1" applyFont="1"/>
    <xf numFmtId="0" fontId="19" fillId="0" borderId="0" xfId="0" applyFont="1" applyBorder="1"/>
    <xf numFmtId="43" fontId="23" fillId="0" borderId="0" xfId="1" applyFont="1"/>
    <xf numFmtId="43" fontId="14" fillId="0" borderId="1" xfId="1" applyFont="1" applyBorder="1"/>
    <xf numFmtId="164" fontId="24" fillId="0" borderId="0" xfId="0" applyNumberFormat="1" applyFont="1"/>
    <xf numFmtId="43" fontId="24" fillId="0" borderId="0" xfId="1" applyFont="1"/>
    <xf numFmtId="164" fontId="23" fillId="0" borderId="0" xfId="0" applyNumberFormat="1" applyFont="1"/>
    <xf numFmtId="164" fontId="22" fillId="0" borderId="0" xfId="0" applyNumberFormat="1" applyFont="1"/>
    <xf numFmtId="0" fontId="25" fillId="0" borderId="0" xfId="0" applyFont="1"/>
    <xf numFmtId="43" fontId="16" fillId="0" borderId="0" xfId="1" applyFont="1"/>
    <xf numFmtId="164" fontId="26" fillId="0" borderId="0" xfId="0" applyNumberFormat="1" applyFont="1"/>
    <xf numFmtId="164" fontId="27" fillId="0" borderId="0" xfId="0" applyNumberFormat="1" applyFont="1"/>
    <xf numFmtId="0" fontId="20" fillId="0" borderId="0" xfId="0" applyFont="1"/>
    <xf numFmtId="43" fontId="20" fillId="0" borderId="0" xfId="1" applyFont="1"/>
    <xf numFmtId="43" fontId="28" fillId="0" borderId="0" xfId="1" applyFont="1"/>
    <xf numFmtId="43" fontId="28" fillId="0" borderId="1" xfId="1" applyFont="1" applyBorder="1"/>
    <xf numFmtId="164" fontId="28" fillId="0" borderId="0" xfId="0" applyNumberFormat="1" applyFont="1"/>
    <xf numFmtId="4" fontId="22" fillId="0" borderId="0" xfId="0" applyNumberFormat="1" applyFont="1"/>
    <xf numFmtId="165" fontId="22" fillId="0" borderId="0" xfId="2" applyNumberFormat="1" applyFont="1"/>
    <xf numFmtId="4" fontId="12" fillId="0" borderId="0" xfId="0" applyNumberFormat="1" applyFont="1"/>
    <xf numFmtId="0" fontId="24" fillId="0" borderId="0" xfId="0" applyFont="1"/>
    <xf numFmtId="4" fontId="23" fillId="0" borderId="0" xfId="0" applyNumberFormat="1" applyFont="1"/>
    <xf numFmtId="4" fontId="24" fillId="0" borderId="0" xfId="0" applyNumberFormat="1" applyFont="1"/>
    <xf numFmtId="43" fontId="24" fillId="0" borderId="0" xfId="1" applyFont="1" applyBorder="1"/>
    <xf numFmtId="0" fontId="23" fillId="0" borderId="0" xfId="0" applyFont="1"/>
    <xf numFmtId="0" fontId="22" fillId="0" borderId="0" xfId="0" applyFont="1"/>
    <xf numFmtId="0" fontId="29" fillId="0" borderId="2" xfId="0" applyFont="1" applyBorder="1"/>
    <xf numFmtId="164" fontId="21" fillId="0" borderId="3" xfId="0" applyNumberFormat="1" applyFont="1" applyBorder="1"/>
    <xf numFmtId="43" fontId="21" fillId="0" borderId="3" xfId="1" applyFont="1" applyBorder="1"/>
    <xf numFmtId="0" fontId="28" fillId="0" borderId="4" xfId="0" applyFont="1" applyBorder="1"/>
    <xf numFmtId="0" fontId="14" fillId="0" borderId="1" xfId="0" applyFont="1" applyBorder="1"/>
    <xf numFmtId="43" fontId="28" fillId="0" borderId="5" xfId="1" applyFont="1" applyBorder="1"/>
    <xf numFmtId="43" fontId="14" fillId="0" borderId="4" xfId="1" applyFont="1" applyBorder="1"/>
    <xf numFmtId="43" fontId="28" fillId="0" borderId="6" xfId="1" applyFont="1" applyBorder="1"/>
    <xf numFmtId="43" fontId="28" fillId="0" borderId="7" xfId="1" applyFont="1" applyBorder="1"/>
    <xf numFmtId="43" fontId="14" fillId="0" borderId="8" xfId="1" applyFont="1" applyBorder="1"/>
    <xf numFmtId="0" fontId="14" fillId="0" borderId="3" xfId="0" applyFont="1" applyBorder="1"/>
    <xf numFmtId="164" fontId="14" fillId="0" borderId="0" xfId="0" applyNumberFormat="1" applyFont="1"/>
    <xf numFmtId="43" fontId="24" fillId="0" borderId="1" xfId="1" applyFont="1" applyBorder="1"/>
    <xf numFmtId="43" fontId="14" fillId="0" borderId="3" xfId="1" applyFont="1" applyBorder="1"/>
    <xf numFmtId="43" fontId="28" fillId="0" borderId="9" xfId="1" applyFont="1" applyBorder="1"/>
    <xf numFmtId="43" fontId="28" fillId="0" borderId="3" xfId="1" applyFont="1" applyBorder="1"/>
    <xf numFmtId="164" fontId="30" fillId="0" borderId="10" xfId="0" applyNumberFormat="1" applyFont="1" applyBorder="1"/>
    <xf numFmtId="164" fontId="30" fillId="0" borderId="3" xfId="0" applyNumberFormat="1" applyFont="1" applyBorder="1"/>
    <xf numFmtId="43" fontId="24" fillId="0" borderId="11" xfId="1" applyFont="1" applyBorder="1"/>
    <xf numFmtId="164" fontId="28" fillId="0" borderId="0" xfId="0" applyNumberFormat="1" applyFont="1" applyBorder="1"/>
    <xf numFmtId="164" fontId="23" fillId="0" borderId="0" xfId="0" applyNumberFormat="1" applyFont="1" applyBorder="1"/>
    <xf numFmtId="164" fontId="24" fillId="0" borderId="0" xfId="0" applyNumberFormat="1" applyFont="1" applyBorder="1"/>
    <xf numFmtId="0" fontId="0" fillId="0" borderId="0" xfId="0" applyFill="1"/>
    <xf numFmtId="0" fontId="0" fillId="0" borderId="3" xfId="0" applyBorder="1"/>
    <xf numFmtId="0" fontId="11" fillId="0" borderId="3" xfId="0" applyFont="1" applyBorder="1"/>
    <xf numFmtId="43" fontId="31" fillId="0" borderId="3" xfId="1" applyFont="1" applyBorder="1"/>
    <xf numFmtId="164" fontId="22" fillId="0" borderId="3" xfId="0" applyNumberFormat="1" applyFont="1" applyBorder="1"/>
    <xf numFmtId="164" fontId="21" fillId="0" borderId="2" xfId="0" applyNumberFormat="1" applyFont="1" applyBorder="1"/>
    <xf numFmtId="164" fontId="22" fillId="0" borderId="10" xfId="0" applyNumberFormat="1" applyFont="1" applyBorder="1"/>
    <xf numFmtId="41" fontId="22" fillId="0" borderId="3" xfId="2" applyFont="1" applyBorder="1"/>
    <xf numFmtId="164" fontId="31" fillId="0" borderId="0" xfId="0" applyNumberFormat="1" applyFont="1"/>
    <xf numFmtId="43" fontId="22" fillId="0" borderId="3" xfId="1" applyFont="1" applyBorder="1"/>
    <xf numFmtId="43" fontId="0" fillId="0" borderId="2" xfId="1" applyFont="1" applyBorder="1"/>
    <xf numFmtId="43" fontId="0" fillId="0" borderId="3" xfId="1" applyFont="1" applyBorder="1"/>
    <xf numFmtId="0" fontId="21" fillId="0" borderId="10" xfId="0" applyFont="1" applyBorder="1"/>
    <xf numFmtId="0" fontId="22" fillId="0" borderId="3" xfId="0" applyFont="1" applyBorder="1"/>
    <xf numFmtId="0" fontId="21" fillId="0" borderId="3" xfId="0" applyFont="1" applyBorder="1"/>
    <xf numFmtId="41" fontId="31" fillId="0" borderId="3" xfId="2" applyFont="1" applyBorder="1"/>
    <xf numFmtId="164" fontId="31" fillId="0" borderId="3" xfId="0" applyNumberFormat="1" applyFont="1" applyBorder="1"/>
    <xf numFmtId="0" fontId="32" fillId="0" borderId="10" xfId="0" applyFont="1" applyBorder="1"/>
    <xf numFmtId="0" fontId="15" fillId="0" borderId="3" xfId="0" applyFont="1" applyBorder="1"/>
    <xf numFmtId="0" fontId="33" fillId="0" borderId="3" xfId="0" applyFont="1" applyBorder="1"/>
    <xf numFmtId="0" fontId="34" fillId="0" borderId="3" xfId="0" applyFont="1" applyBorder="1"/>
    <xf numFmtId="0" fontId="32" fillId="0" borderId="3" xfId="0" applyFont="1" applyBorder="1"/>
    <xf numFmtId="0" fontId="32" fillId="0" borderId="12" xfId="0" applyFont="1" applyFill="1" applyBorder="1"/>
    <xf numFmtId="0" fontId="35" fillId="0" borderId="3" xfId="0" applyFont="1" applyBorder="1"/>
    <xf numFmtId="0" fontId="35" fillId="0" borderId="0" xfId="0" applyFont="1"/>
    <xf numFmtId="0" fontId="32" fillId="0" borderId="0" xfId="0" applyFont="1"/>
    <xf numFmtId="0" fontId="36" fillId="0" borderId="3" xfId="0" applyFont="1" applyBorder="1"/>
    <xf numFmtId="166" fontId="22" fillId="0" borderId="3" xfId="1" applyNumberFormat="1" applyFont="1" applyBorder="1"/>
    <xf numFmtId="166" fontId="21" fillId="0" borderId="3" xfId="1" applyNumberFormat="1" applyFont="1" applyBorder="1"/>
    <xf numFmtId="166" fontId="21" fillId="0" borderId="3" xfId="0" applyNumberFormat="1" applyFont="1" applyBorder="1"/>
    <xf numFmtId="166" fontId="14" fillId="0" borderId="3" xfId="1" applyNumberFormat="1" applyFont="1" applyBorder="1"/>
    <xf numFmtId="43" fontId="37" fillId="0" borderId="3" xfId="1" applyFont="1" applyBorder="1"/>
    <xf numFmtId="166" fontId="22" fillId="0" borderId="3" xfId="0" applyNumberFormat="1" applyFont="1" applyBorder="1"/>
    <xf numFmtId="43" fontId="22" fillId="0" borderId="12" xfId="1" applyFont="1" applyFill="1" applyBorder="1"/>
    <xf numFmtId="164" fontId="21" fillId="0" borderId="3" xfId="0" applyNumberFormat="1" applyFont="1" applyBorder="1" applyAlignment="1">
      <alignment horizontal="center"/>
    </xf>
    <xf numFmtId="0" fontId="28" fillId="0" borderId="3" xfId="0" applyFont="1" applyBorder="1"/>
    <xf numFmtId="164" fontId="22" fillId="0" borderId="3" xfId="0" applyNumberFormat="1" applyFont="1" applyFill="1" applyBorder="1"/>
    <xf numFmtId="0" fontId="28" fillId="0" borderId="0" xfId="0" applyFont="1"/>
    <xf numFmtId="43" fontId="31" fillId="0" borderId="3" xfId="0" applyNumberFormat="1" applyFont="1" applyBorder="1"/>
    <xf numFmtId="164" fontId="22" fillId="0" borderId="0" xfId="0" applyNumberFormat="1" applyFont="1" applyBorder="1"/>
    <xf numFmtId="167" fontId="38" fillId="0" borderId="3" xfId="0" applyNumberFormat="1" applyFont="1" applyFill="1" applyBorder="1"/>
    <xf numFmtId="164" fontId="14" fillId="0" borderId="1" xfId="0" applyNumberFormat="1" applyFont="1" applyBorder="1"/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121</xdr:row>
      <xdr:rowOff>152400</xdr:rowOff>
    </xdr:from>
    <xdr:to>
      <xdr:col>14</xdr:col>
      <xdr:colOff>0</xdr:colOff>
      <xdr:row>135</xdr:row>
      <xdr:rowOff>19050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85725" y="171230925"/>
          <a:ext cx="8334375" cy="2171700"/>
        </a:xfrm>
        <a:prstGeom prst="bevel">
          <a:avLst>
            <a:gd name="adj" fmla="val 1250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  <a:p>
          <a:pPr algn="l" rtl="1">
            <a:defRPr sz="1000"/>
          </a:pPr>
          <a:r>
            <a:rPr lang="es-ES" sz="1400" b="1" i="1" u="sng" strike="noStrike">
              <a:solidFill>
                <a:srgbClr val="000000"/>
              </a:solidFill>
              <a:latin typeface="Times New Roman"/>
              <a:cs typeface="Times New Roman"/>
            </a:rPr>
            <a:t>ESTADO DE SITUACION DEL EDIFICIO AL CIERRE DEL EJERCICIO</a:t>
          </a:r>
          <a:endParaRPr lang="es-ES" sz="1200" b="1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1200" b="1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DOLARES USA EN CUENTA CORRIENTE BANCO COMERCIAL.............U$S 55.161,72 </a:t>
          </a:r>
        </a:p>
        <a:p>
          <a:pPr algn="l" rtl="1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PESOS URUGUAYOS EN CUENTA CORRIENTE BANCO COMERCIAL....  $   30.922,66    </a:t>
          </a:r>
        </a:p>
        <a:p>
          <a:pPr algn="l" rtl="1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PESOS URUGUAYOS EN CAJA EFECTIVO.....................................................$</a:t>
          </a:r>
          <a:r>
            <a:rPr lang="es-ES" sz="1200" b="1" i="0" strike="noStrike" baseline="0">
              <a:solidFill>
                <a:srgbClr val="000000"/>
              </a:solidFill>
              <a:latin typeface="Arial"/>
              <a:cs typeface="Arial"/>
            </a:rPr>
            <a:t>   4.058,02</a:t>
          </a: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1">
            <a:defRPr sz="1000"/>
          </a:pPr>
          <a:endParaRPr lang="es-E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38100</xdr:rowOff>
    </xdr:from>
    <xdr:to>
      <xdr:col>10</xdr:col>
      <xdr:colOff>156210</xdr:colOff>
      <xdr:row>6</xdr:row>
      <xdr:rowOff>51435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694400"/>
          <a:ext cx="5699760" cy="1718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228600</xdr:rowOff>
    </xdr:from>
    <xdr:to>
      <xdr:col>14</xdr:col>
      <xdr:colOff>152400</xdr:colOff>
      <xdr:row>6</xdr:row>
      <xdr:rowOff>209551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627725"/>
          <a:ext cx="8982075" cy="2038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miento/Desktop/TORRE%20ANTARES/LIQUIDACION%20DICIEMBRE%202018%20A%20NOVIEMB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508">
          <cell r="N508">
            <v>13253.755435280651</v>
          </cell>
        </row>
        <row r="509">
          <cell r="N509">
            <v>6659.923727365308</v>
          </cell>
        </row>
        <row r="510">
          <cell r="N510">
            <v>6427.8331474363531</v>
          </cell>
        </row>
        <row r="511">
          <cell r="N511">
            <v>8895.2048020597886</v>
          </cell>
        </row>
        <row r="512">
          <cell r="N512">
            <v>6852.8662124617067</v>
          </cell>
        </row>
        <row r="513">
          <cell r="N513">
            <v>6431.9812422689083</v>
          </cell>
        </row>
        <row r="514">
          <cell r="N514">
            <v>10928.238564866682</v>
          </cell>
        </row>
        <row r="515">
          <cell r="N515">
            <v>8796.3866816782029</v>
          </cell>
        </row>
        <row r="516">
          <cell r="N516">
            <v>39828.895349000049</v>
          </cell>
        </row>
        <row r="517">
          <cell r="N517">
            <v>4143.8159171421348</v>
          </cell>
        </row>
        <row r="518">
          <cell r="N518">
            <v>-1311.463020249792</v>
          </cell>
        </row>
        <row r="519">
          <cell r="N519">
            <v>-1184.5183758718731</v>
          </cell>
        </row>
        <row r="520">
          <cell r="N520">
            <v>5889.8748495877826</v>
          </cell>
        </row>
        <row r="521">
          <cell r="N521">
            <v>4225.2781736734896</v>
          </cell>
        </row>
        <row r="522">
          <cell r="N522">
            <v>4254.4816241281269</v>
          </cell>
        </row>
        <row r="523">
          <cell r="N523">
            <v>4256.0186478362657</v>
          </cell>
        </row>
        <row r="524">
          <cell r="N524">
            <v>9183.716656129176</v>
          </cell>
        </row>
        <row r="525">
          <cell r="N525">
            <v>9337.5246998636721</v>
          </cell>
        </row>
        <row r="526">
          <cell r="N526">
            <v>1614.0926952525424</v>
          </cell>
        </row>
        <row r="527">
          <cell r="N527">
            <v>48885.46480151335</v>
          </cell>
        </row>
        <row r="528">
          <cell r="N528">
            <v>5031.7245954737082</v>
          </cell>
        </row>
        <row r="529">
          <cell r="N529">
            <v>4271.6850745827633</v>
          </cell>
        </row>
        <row r="530">
          <cell r="N530">
            <v>8296.8705530037096</v>
          </cell>
        </row>
        <row r="531">
          <cell r="N531">
            <v>9774.0926952525424</v>
          </cell>
        </row>
        <row r="532">
          <cell r="N532">
            <v>3877.9108156341272</v>
          </cell>
        </row>
        <row r="533">
          <cell r="N533">
            <v>5309.8497019279948</v>
          </cell>
        </row>
        <row r="534">
          <cell r="N534">
            <v>37579.389318951617</v>
          </cell>
        </row>
        <row r="535">
          <cell r="N535">
            <v>15181.668724863343</v>
          </cell>
        </row>
        <row r="536">
          <cell r="N536">
            <v>31833.951966476918</v>
          </cell>
        </row>
        <row r="537">
          <cell r="N537">
            <v>6883.8151766864994</v>
          </cell>
        </row>
        <row r="538">
          <cell r="N538">
            <v>27200.226968698902</v>
          </cell>
        </row>
        <row r="539">
          <cell r="N539">
            <v>33222.692129090872</v>
          </cell>
        </row>
        <row r="540">
          <cell r="N540">
            <v>26441.080823142747</v>
          </cell>
        </row>
        <row r="541">
          <cell r="N541">
            <v>18306.324211372015</v>
          </cell>
        </row>
        <row r="542">
          <cell r="N542">
            <v>30987.541320465061</v>
          </cell>
        </row>
        <row r="543">
          <cell r="N543">
            <v>38400.961964403068</v>
          </cell>
        </row>
        <row r="544">
          <cell r="N544">
            <v>17685.461307429439</v>
          </cell>
        </row>
        <row r="545">
          <cell r="N545">
            <v>37843.060649455525</v>
          </cell>
        </row>
        <row r="546">
          <cell r="N546">
            <v>42712.777783249985</v>
          </cell>
        </row>
        <row r="547">
          <cell r="N547">
            <v>29125.734383170155</v>
          </cell>
        </row>
        <row r="548">
          <cell r="N548">
            <v>44011.668229698684</v>
          </cell>
        </row>
        <row r="549">
          <cell r="N549">
            <v>19028.048566989615</v>
          </cell>
        </row>
        <row r="550">
          <cell r="N550">
            <v>34010.174801658097</v>
          </cell>
        </row>
        <row r="551">
          <cell r="N551">
            <v>32495.654063867532</v>
          </cell>
        </row>
        <row r="552">
          <cell r="N552">
            <v>18357.711146889334</v>
          </cell>
        </row>
        <row r="553">
          <cell r="N553">
            <v>28385.608737306437</v>
          </cell>
        </row>
        <row r="554">
          <cell r="N554">
            <v>16869.248080925339</v>
          </cell>
        </row>
        <row r="555">
          <cell r="N555">
            <v>17115.103081369736</v>
          </cell>
        </row>
        <row r="556">
          <cell r="N556">
            <v>31391.35970795367</v>
          </cell>
        </row>
        <row r="557">
          <cell r="N557">
            <v>30338.393416374358</v>
          </cell>
        </row>
        <row r="558">
          <cell r="N558">
            <v>22321.160520042267</v>
          </cell>
        </row>
        <row r="559">
          <cell r="N559">
            <v>18948.201470043397</v>
          </cell>
        </row>
        <row r="560">
          <cell r="N560">
            <v>612958.6162752657</v>
          </cell>
        </row>
        <row r="561">
          <cell r="N561">
            <v>30238.977771399426</v>
          </cell>
        </row>
        <row r="562">
          <cell r="N562">
            <v>18506.469210927618</v>
          </cell>
        </row>
        <row r="563">
          <cell r="N563">
            <v>34425.526323575839</v>
          </cell>
        </row>
        <row r="564">
          <cell r="N564">
            <v>46846.001817787372</v>
          </cell>
        </row>
        <row r="565">
          <cell r="N565">
            <v>29267.194544599053</v>
          </cell>
        </row>
        <row r="566">
          <cell r="N566">
            <v>32140.9598699751</v>
          </cell>
        </row>
        <row r="567">
          <cell r="N567">
            <v>18961.230179501006</v>
          </cell>
        </row>
        <row r="568">
          <cell r="N568">
            <v>27138.28712420251</v>
          </cell>
        </row>
        <row r="569">
          <cell r="N569">
            <v>32126.222611896246</v>
          </cell>
        </row>
        <row r="570">
          <cell r="N570">
            <v>18077.973888810484</v>
          </cell>
        </row>
        <row r="571">
          <cell r="N571">
            <v>28387.900188685198</v>
          </cell>
        </row>
        <row r="572">
          <cell r="N572">
            <v>16517.751306540649</v>
          </cell>
        </row>
        <row r="573">
          <cell r="N573">
            <v>17431.650823439013</v>
          </cell>
        </row>
        <row r="574">
          <cell r="N574">
            <v>156745.12977542862</v>
          </cell>
        </row>
        <row r="575">
          <cell r="N575">
            <v>14749.971320168796</v>
          </cell>
        </row>
        <row r="576">
          <cell r="N576">
            <v>18589.953082851054</v>
          </cell>
        </row>
        <row r="577">
          <cell r="N577">
            <v>19148.610663787698</v>
          </cell>
        </row>
        <row r="578">
          <cell r="N578">
            <v>31193.862933568984</v>
          </cell>
        </row>
        <row r="579">
          <cell r="N579">
            <v>30280.15293268019</v>
          </cell>
        </row>
        <row r="580">
          <cell r="N580">
            <v>43958.206469006473</v>
          </cell>
        </row>
        <row r="581">
          <cell r="N581">
            <v>35240.987937272279</v>
          </cell>
        </row>
        <row r="582">
          <cell r="N582">
            <v>9427.2121397563824</v>
          </cell>
        </row>
        <row r="583">
          <cell r="N583">
            <v>28516.594382577627</v>
          </cell>
        </row>
        <row r="584">
          <cell r="N584">
            <v>38222.88479534637</v>
          </cell>
        </row>
        <row r="585">
          <cell r="N585">
            <v>17762.550340337377</v>
          </cell>
        </row>
        <row r="586">
          <cell r="N586">
            <v>74269.447930754483</v>
          </cell>
        </row>
        <row r="587">
          <cell r="N587">
            <v>38488.046107135167</v>
          </cell>
        </row>
        <row r="588">
          <cell r="N588">
            <v>18396.010501766275</v>
          </cell>
        </row>
        <row r="589">
          <cell r="N589">
            <v>28687.119866419926</v>
          </cell>
        </row>
        <row r="590">
          <cell r="N590">
            <v>16702.17485501376</v>
          </cell>
        </row>
        <row r="591">
          <cell r="N591">
            <v>17410.526629842843</v>
          </cell>
        </row>
        <row r="592">
          <cell r="N592">
            <v>31783.528418003814</v>
          </cell>
        </row>
        <row r="593">
          <cell r="N593">
            <v>30927.175190907168</v>
          </cell>
        </row>
        <row r="594">
          <cell r="N594">
            <v>18932.055018220242</v>
          </cell>
        </row>
        <row r="595">
          <cell r="N595">
            <v>19385.406793049322</v>
          </cell>
        </row>
        <row r="596">
          <cell r="N596">
            <v>31571.48390154984</v>
          </cell>
        </row>
        <row r="597">
          <cell r="N597">
            <v>18012.240513320576</v>
          </cell>
        </row>
        <row r="598">
          <cell r="N598">
            <v>17670.045662454511</v>
          </cell>
        </row>
        <row r="599">
          <cell r="N599">
            <v>522749.2972900754</v>
          </cell>
        </row>
        <row r="600">
          <cell r="N600">
            <v>43960.532300592749</v>
          </cell>
        </row>
        <row r="601">
          <cell r="N601">
            <v>28854.842769769974</v>
          </cell>
        </row>
        <row r="602">
          <cell r="N602">
            <v>38593.325729023592</v>
          </cell>
        </row>
        <row r="603">
          <cell r="N603">
            <v>18583.682437431726</v>
          </cell>
        </row>
        <row r="604">
          <cell r="N604">
            <v>28550.98131809495</v>
          </cell>
        </row>
        <row r="605">
          <cell r="N605">
            <v>32213.85003110773</v>
          </cell>
        </row>
        <row r="606">
          <cell r="N606">
            <v>20707.170132672163</v>
          </cell>
        </row>
        <row r="607">
          <cell r="N607">
            <v>28073.651801492855</v>
          </cell>
        </row>
        <row r="608">
          <cell r="N608">
            <v>16805.211467969544</v>
          </cell>
        </row>
        <row r="609">
          <cell r="N609">
            <v>17404.701791123607</v>
          </cell>
        </row>
        <row r="610">
          <cell r="N610">
            <v>31772.819869382562</v>
          </cell>
        </row>
        <row r="611">
          <cell r="N611">
            <v>36816.175023475662</v>
          </cell>
        </row>
        <row r="612">
          <cell r="N612">
            <v>22762.625498669415</v>
          </cell>
        </row>
        <row r="613">
          <cell r="N613">
            <v>23338.496493601888</v>
          </cell>
        </row>
        <row r="614">
          <cell r="N614">
            <v>19260.733741009732</v>
          </cell>
        </row>
        <row r="615">
          <cell r="N615">
            <v>30908.234062089945</v>
          </cell>
        </row>
        <row r="616">
          <cell r="N616">
            <v>17052.475662158249</v>
          </cell>
        </row>
        <row r="617">
          <cell r="N617">
            <v>41164.820536811938</v>
          </cell>
        </row>
        <row r="618">
          <cell r="N618">
            <v>43591.100848621456</v>
          </cell>
        </row>
        <row r="619">
          <cell r="N619">
            <v>28772.040189277719</v>
          </cell>
        </row>
        <row r="620">
          <cell r="N620">
            <v>79327.069708842464</v>
          </cell>
        </row>
        <row r="621">
          <cell r="N621">
            <v>18618.069372949045</v>
          </cell>
        </row>
        <row r="622">
          <cell r="N622">
            <v>33383.271588731368</v>
          </cell>
        </row>
        <row r="623">
          <cell r="N623">
            <v>-1483.7931951001119</v>
          </cell>
        </row>
        <row r="624">
          <cell r="N624">
            <v>18745.879856939475</v>
          </cell>
        </row>
        <row r="625">
          <cell r="N625">
            <v>28215.083253464138</v>
          </cell>
        </row>
        <row r="626">
          <cell r="N626">
            <v>20053.087644828374</v>
          </cell>
        </row>
        <row r="627">
          <cell r="N627">
            <v>17252.416790975472</v>
          </cell>
        </row>
        <row r="628">
          <cell r="N628">
            <v>33427.24341785568</v>
          </cell>
        </row>
        <row r="629">
          <cell r="N629">
            <v>30708.533416966886</v>
          </cell>
        </row>
        <row r="630">
          <cell r="N630">
            <v>18987.500824920331</v>
          </cell>
        </row>
        <row r="631">
          <cell r="N631">
            <v>30554.39682147323</v>
          </cell>
        </row>
        <row r="632">
          <cell r="N632">
            <v>9917.8629335689839</v>
          </cell>
        </row>
        <row r="633">
          <cell r="N633">
            <v>30514.175190907168</v>
          </cell>
        </row>
        <row r="634">
          <cell r="N634">
            <v>17704.359372060255</v>
          </cell>
        </row>
        <row r="635">
          <cell r="N635">
            <v>159814.83858091402</v>
          </cell>
        </row>
        <row r="636">
          <cell r="N636">
            <v>41959.411653692099</v>
          </cell>
        </row>
        <row r="637">
          <cell r="N637">
            <v>28511.681963218009</v>
          </cell>
        </row>
        <row r="638">
          <cell r="N638">
            <v>32499.857934605905</v>
          </cell>
        </row>
        <row r="639">
          <cell r="N639">
            <v>18408.945179352875</v>
          </cell>
        </row>
        <row r="640">
          <cell r="N640">
            <v>261021.04283694865</v>
          </cell>
        </row>
        <row r="641">
          <cell r="N641">
            <v>32617.755999236717</v>
          </cell>
        </row>
        <row r="642">
          <cell r="N642">
            <v>22444.431924522858</v>
          </cell>
        </row>
        <row r="643">
          <cell r="N643">
            <v>28187.462285483278</v>
          </cell>
        </row>
        <row r="644">
          <cell r="N644">
            <v>17040.759210038828</v>
          </cell>
        </row>
        <row r="645">
          <cell r="N645">
            <v>17394.876952404371</v>
          </cell>
        </row>
        <row r="646">
          <cell r="N646">
            <v>38181.637480179226</v>
          </cell>
        </row>
        <row r="647">
          <cell r="N647">
            <v>30770.686320020664</v>
          </cell>
        </row>
        <row r="648">
          <cell r="N648">
            <v>19070.011954033827</v>
          </cell>
        </row>
        <row r="649">
          <cell r="N649">
            <v>19345.486470191528</v>
          </cell>
        </row>
        <row r="650">
          <cell r="N650">
            <v>31128.292933272722</v>
          </cell>
        </row>
        <row r="651">
          <cell r="N651">
            <v>43052.692329527519</v>
          </cell>
        </row>
        <row r="652">
          <cell r="N652">
            <v>17527.424694473651</v>
          </cell>
        </row>
        <row r="653">
          <cell r="N653">
            <v>421318.38055342773</v>
          </cell>
        </row>
        <row r="654">
          <cell r="N654">
            <v>43131.04197743869</v>
          </cell>
        </row>
        <row r="655">
          <cell r="N655">
            <v>28256.03228577954</v>
          </cell>
        </row>
        <row r="656">
          <cell r="N656">
            <v>31314.047450615479</v>
          </cell>
        </row>
        <row r="657">
          <cell r="N657">
            <v>18563.324211372015</v>
          </cell>
        </row>
        <row r="658">
          <cell r="N658">
            <v>28653.345995385287</v>
          </cell>
        </row>
        <row r="659">
          <cell r="N659">
            <v>49338.631499373543</v>
          </cell>
        </row>
        <row r="660">
          <cell r="N660">
            <v>28736.514705435424</v>
          </cell>
        </row>
        <row r="661">
          <cell r="N661">
            <v>16628.539532304094</v>
          </cell>
        </row>
        <row r="662">
          <cell r="N662">
            <v>44539.997599305018</v>
          </cell>
        </row>
        <row r="663">
          <cell r="N663">
            <v>43314.958417707545</v>
          </cell>
        </row>
        <row r="664">
          <cell r="N664">
            <v>80735.120162798718</v>
          </cell>
        </row>
        <row r="665">
          <cell r="N665">
            <v>18912.814534526075</v>
          </cell>
        </row>
        <row r="666">
          <cell r="N666">
            <v>8598.7858250684658</v>
          </cell>
        </row>
        <row r="667">
          <cell r="N667">
            <v>31551.469546821038</v>
          </cell>
        </row>
        <row r="668">
          <cell r="N668">
            <v>30299.802610118659</v>
          </cell>
        </row>
        <row r="669">
          <cell r="N669">
            <v>17522.599855754419</v>
          </cell>
        </row>
        <row r="670">
          <cell r="N670">
            <v>35006.191808010662</v>
          </cell>
        </row>
        <row r="671">
          <cell r="N671">
            <v>45532.506495670241</v>
          </cell>
        </row>
        <row r="672">
          <cell r="N672">
            <v>29383.67405971983</v>
          </cell>
        </row>
        <row r="673">
          <cell r="N673">
            <v>32750.391321946383</v>
          </cell>
        </row>
        <row r="674">
          <cell r="N674">
            <v>3002.4117920123972</v>
          </cell>
        </row>
        <row r="675">
          <cell r="N675">
            <v>28922.915995681553</v>
          </cell>
        </row>
        <row r="676">
          <cell r="N676">
            <v>32033.623902142368</v>
          </cell>
        </row>
        <row r="677">
          <cell r="N677">
            <v>18747.055018220242</v>
          </cell>
        </row>
        <row r="678">
          <cell r="N678">
            <v>8632.2823280627854</v>
          </cell>
        </row>
        <row r="679">
          <cell r="N679">
            <v>18164.431145704282</v>
          </cell>
        </row>
        <row r="680">
          <cell r="N680">
            <v>45395.052518738703</v>
          </cell>
        </row>
        <row r="681">
          <cell r="N681">
            <v>31655.630353372999</v>
          </cell>
        </row>
        <row r="682">
          <cell r="N682">
            <v>30368.576481153304</v>
          </cell>
        </row>
        <row r="683">
          <cell r="N683">
            <v>18093.625018516504</v>
          </cell>
        </row>
        <row r="684">
          <cell r="N684">
            <v>19050.362276595355</v>
          </cell>
        </row>
        <row r="685">
          <cell r="N685">
            <v>31458.249869086303</v>
          </cell>
        </row>
        <row r="686">
          <cell r="N686">
            <v>30667.525513468707</v>
          </cell>
        </row>
        <row r="687">
          <cell r="N687">
            <v>-11470.830143949315</v>
          </cell>
        </row>
        <row r="688">
          <cell r="N688">
            <v>3129.2828604249662</v>
          </cell>
        </row>
        <row r="689">
          <cell r="N689">
            <v>46529.888432224478</v>
          </cell>
        </row>
        <row r="690">
          <cell r="N690">
            <v>34104.045752227052</v>
          </cell>
        </row>
        <row r="691">
          <cell r="N691">
            <v>31071.58728918658</v>
          </cell>
        </row>
        <row r="692">
          <cell r="N692">
            <v>49779.307890647324</v>
          </cell>
        </row>
        <row r="693">
          <cell r="N693">
            <v>28393.7838985872</v>
          </cell>
        </row>
        <row r="694">
          <cell r="N694">
            <v>52263.229566966991</v>
          </cell>
        </row>
        <row r="695">
          <cell r="N695">
            <v>28742.565673120018</v>
          </cell>
        </row>
        <row r="696">
          <cell r="N696">
            <v>63253.236502299551</v>
          </cell>
        </row>
        <row r="697">
          <cell r="N697">
            <v>17447.738404079395</v>
          </cell>
        </row>
        <row r="698">
          <cell r="N698">
            <v>32485.120676527054</v>
          </cell>
        </row>
        <row r="699">
          <cell r="N699">
            <v>36646.078236402383</v>
          </cell>
        </row>
        <row r="700">
          <cell r="N700">
            <v>64528.638607684683</v>
          </cell>
        </row>
        <row r="701">
          <cell r="N701">
            <v>43027.172622265483</v>
          </cell>
        </row>
        <row r="702">
          <cell r="N702">
            <v>43782.685203646528</v>
          </cell>
        </row>
        <row r="703">
          <cell r="N703">
            <v>32578.45664435978</v>
          </cell>
        </row>
        <row r="704">
          <cell r="N704">
            <v>52724.262313395928</v>
          </cell>
        </row>
        <row r="705">
          <cell r="N705">
            <v>86051.649213093857</v>
          </cell>
        </row>
        <row r="706">
          <cell r="N706">
            <v>42182.945041032581</v>
          </cell>
        </row>
        <row r="707">
          <cell r="N707">
            <v>23872.649539118167</v>
          </cell>
        </row>
        <row r="708">
          <cell r="N708">
            <v>45137.250204979719</v>
          </cell>
        </row>
        <row r="709">
          <cell r="N709">
            <v>43597.013267981078</v>
          </cell>
        </row>
        <row r="710">
          <cell r="N710">
            <v>687019.13514979975</v>
          </cell>
        </row>
        <row r="711">
          <cell r="N711">
            <v>-4201.198945492768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6"/>
  <sheetViews>
    <sheetView tabSelected="1" workbookViewId="0">
      <selection activeCell="G15" sqref="G15"/>
    </sheetView>
  </sheetViews>
  <sheetFormatPr baseColWidth="10" defaultRowHeight="15" x14ac:dyDescent="0.25"/>
  <cols>
    <col min="10" max="13" width="12.7109375" customWidth="1"/>
    <col min="14" max="14" width="12.42578125" bestFit="1" customWidth="1"/>
  </cols>
  <sheetData>
    <row r="1" spans="1:15" ht="20.25" x14ac:dyDescent="0.3">
      <c r="A1" s="1"/>
      <c r="B1" s="1"/>
      <c r="C1" s="2"/>
      <c r="D1" s="2"/>
      <c r="F1" s="3"/>
    </row>
    <row r="2" spans="1:15" ht="20.25" x14ac:dyDescent="0.3">
      <c r="A2" s="1"/>
      <c r="B2" s="1"/>
      <c r="C2" s="2"/>
      <c r="D2" s="2"/>
      <c r="F2" s="3"/>
    </row>
    <row r="3" spans="1:15" ht="20.25" x14ac:dyDescent="0.3">
      <c r="A3" s="1"/>
      <c r="B3" s="1"/>
      <c r="C3" s="2"/>
      <c r="D3" s="2"/>
      <c r="F3" s="3"/>
    </row>
    <row r="4" spans="1:15" ht="20.25" x14ac:dyDescent="0.3">
      <c r="A4" s="1"/>
      <c r="B4" s="1"/>
      <c r="C4" s="2"/>
      <c r="D4" s="2"/>
      <c r="F4" s="3"/>
    </row>
    <row r="5" spans="1:15" ht="20.25" x14ac:dyDescent="0.3">
      <c r="A5" s="1"/>
      <c r="B5" s="1"/>
      <c r="C5" s="2"/>
      <c r="D5" s="2"/>
      <c r="F5" s="3"/>
    </row>
    <row r="6" spans="1:15" ht="20.25" x14ac:dyDescent="0.3">
      <c r="A6" s="1"/>
      <c r="B6" s="1"/>
      <c r="C6" s="2"/>
      <c r="D6" s="2"/>
      <c r="F6" s="3"/>
    </row>
    <row r="7" spans="1:15" ht="20.25" x14ac:dyDescent="0.3">
      <c r="A7" s="1"/>
      <c r="B7" s="1"/>
      <c r="C7" s="2"/>
      <c r="D7" s="2"/>
      <c r="F7" s="3"/>
    </row>
    <row r="8" spans="1:15" ht="20.25" x14ac:dyDescent="0.3">
      <c r="A8" s="1"/>
      <c r="B8" s="1"/>
      <c r="C8" s="2"/>
      <c r="D8" s="2"/>
      <c r="F8" s="3"/>
    </row>
    <row r="9" spans="1:15" ht="27" x14ac:dyDescent="0.35">
      <c r="A9" s="4" t="s">
        <v>0</v>
      </c>
    </row>
    <row r="10" spans="1:15" ht="20.25" x14ac:dyDescent="0.3">
      <c r="D10" s="5" t="s">
        <v>1</v>
      </c>
      <c r="E10" s="5"/>
      <c r="F10" s="5"/>
      <c r="G10" s="5"/>
      <c r="H10" s="6"/>
      <c r="I10" s="6"/>
      <c r="J10" s="6"/>
      <c r="K10" s="7"/>
      <c r="L10" s="7"/>
    </row>
    <row r="11" spans="1:15" ht="20.25" x14ac:dyDescent="0.3">
      <c r="A11" s="8" t="s">
        <v>2</v>
      </c>
      <c r="B11" s="8"/>
      <c r="C11" s="9"/>
      <c r="D11" s="9"/>
      <c r="E11" s="9"/>
      <c r="F11" s="3" t="s">
        <v>3</v>
      </c>
      <c r="G11" s="6"/>
      <c r="H11" s="6"/>
      <c r="I11" s="6"/>
      <c r="J11" s="10"/>
    </row>
    <row r="13" spans="1:15" ht="21.75" x14ac:dyDescent="0.4">
      <c r="A13" s="11" t="s">
        <v>4</v>
      </c>
      <c r="B13" s="11"/>
      <c r="C13" s="12"/>
      <c r="D13" s="9"/>
      <c r="E13" s="5" t="s">
        <v>5</v>
      </c>
      <c r="F13" s="13"/>
      <c r="K13" s="11" t="s">
        <v>6</v>
      </c>
      <c r="L13" s="6"/>
      <c r="M13" s="6"/>
    </row>
    <row r="14" spans="1:15" ht="15.75" x14ac:dyDescent="0.25">
      <c r="A14" s="14" t="s">
        <v>7</v>
      </c>
      <c r="B14" s="14"/>
      <c r="J14" s="8" t="s">
        <v>8</v>
      </c>
      <c r="K14" s="9" t="s">
        <v>9</v>
      </c>
      <c r="L14" s="8" t="s">
        <v>10</v>
      </c>
      <c r="M14" s="15" t="s">
        <v>11</v>
      </c>
      <c r="N14" s="8" t="s">
        <v>12</v>
      </c>
      <c r="O14" s="16"/>
    </row>
    <row r="15" spans="1:15" ht="15.75" x14ac:dyDescent="0.25">
      <c r="A15" s="17" t="s">
        <v>13</v>
      </c>
      <c r="D15" s="17"/>
      <c r="E15" s="17"/>
      <c r="F15" s="17"/>
      <c r="G15" s="17"/>
      <c r="H15" s="17"/>
      <c r="I15" s="17"/>
      <c r="J15" s="18">
        <v>18510</v>
      </c>
      <c r="K15" s="18">
        <f>19054+3000</f>
        <v>22054</v>
      </c>
      <c r="L15" s="18">
        <v>21266</v>
      </c>
      <c r="M15" s="18">
        <f t="shared" ref="M15:M18" si="0">J15+K15+L15</f>
        <v>61830</v>
      </c>
      <c r="N15" s="19">
        <f>M15*100/M78</f>
        <v>1.2450044648904663</v>
      </c>
    </row>
    <row r="16" spans="1:15" ht="15.75" x14ac:dyDescent="0.25">
      <c r="A16" s="17" t="s">
        <v>14</v>
      </c>
      <c r="B16" s="17"/>
      <c r="C16" s="17"/>
      <c r="D16" s="17"/>
      <c r="E16" s="17"/>
      <c r="F16" s="17"/>
      <c r="G16" s="17"/>
      <c r="H16" s="17"/>
      <c r="I16" s="17"/>
      <c r="J16" s="18">
        <f>9661+5427</f>
        <v>15088</v>
      </c>
      <c r="K16" s="18">
        <v>9894</v>
      </c>
      <c r="L16" s="18">
        <v>10902</v>
      </c>
      <c r="M16" s="18">
        <f t="shared" si="0"/>
        <v>35884</v>
      </c>
      <c r="N16" s="19">
        <f>M16*100/M78</f>
        <v>0.72255766162266688</v>
      </c>
    </row>
    <row r="17" spans="1:14" ht="15.75" x14ac:dyDescent="0.25">
      <c r="A17" s="17" t="s">
        <v>15</v>
      </c>
      <c r="F17" s="17"/>
      <c r="G17" s="17"/>
      <c r="H17" s="17"/>
      <c r="I17" s="17"/>
      <c r="J17" s="18">
        <v>12662</v>
      </c>
      <c r="K17" s="18"/>
      <c r="L17" s="18"/>
      <c r="M17" s="18">
        <f t="shared" si="0"/>
        <v>12662</v>
      </c>
      <c r="N17" s="19">
        <f>M17*100/M78</f>
        <v>0.25496112784155078</v>
      </c>
    </row>
    <row r="18" spans="1:14" ht="15.75" x14ac:dyDescent="0.25">
      <c r="A18" s="17" t="s">
        <v>16</v>
      </c>
      <c r="B18" s="17"/>
      <c r="C18" s="17"/>
      <c r="F18" s="17"/>
      <c r="G18" s="17"/>
      <c r="H18" s="17"/>
      <c r="I18" s="17"/>
      <c r="J18" s="18">
        <v>30946</v>
      </c>
      <c r="K18" s="18">
        <f>30946+3000</f>
        <v>33946</v>
      </c>
      <c r="L18" s="18">
        <v>33288</v>
      </c>
      <c r="M18" s="18">
        <f t="shared" si="0"/>
        <v>98180</v>
      </c>
      <c r="N18" s="19">
        <f>M18*100/M78</f>
        <v>1.9769454692373603</v>
      </c>
    </row>
    <row r="19" spans="1:14" ht="15.75" x14ac:dyDescent="0.25">
      <c r="A19" s="17" t="s">
        <v>15</v>
      </c>
      <c r="B19" s="17"/>
      <c r="C19" s="17"/>
      <c r="F19" s="17"/>
      <c r="G19" s="17"/>
      <c r="H19" s="17"/>
      <c r="I19" s="17"/>
      <c r="J19" s="18">
        <v>16250</v>
      </c>
      <c r="K19" s="18"/>
      <c r="L19" s="18"/>
      <c r="M19" s="18">
        <f>J19+K19+L19</f>
        <v>16250</v>
      </c>
      <c r="N19" s="19">
        <f>M19*100/M78</f>
        <v>0.32720883963238034</v>
      </c>
    </row>
    <row r="20" spans="1:14" ht="15.75" x14ac:dyDescent="0.25">
      <c r="A20" s="17" t="s">
        <v>17</v>
      </c>
      <c r="B20" s="17"/>
      <c r="C20" s="17"/>
      <c r="F20" s="17"/>
      <c r="G20" s="17"/>
      <c r="H20" s="17"/>
      <c r="I20" s="17"/>
      <c r="J20" s="18"/>
      <c r="K20" s="18">
        <v>11516</v>
      </c>
      <c r="L20" s="18"/>
      <c r="M20" s="18">
        <f t="shared" ref="M20:M77" si="1">J20+K20+L20</f>
        <v>11516</v>
      </c>
      <c r="N20" s="19">
        <f>M20*100/M78</f>
        <v>0.23188535367424568</v>
      </c>
    </row>
    <row r="21" spans="1:14" ht="15.75" x14ac:dyDescent="0.25">
      <c r="A21" s="17" t="s">
        <v>18</v>
      </c>
      <c r="D21" s="17"/>
      <c r="E21" s="17"/>
      <c r="F21" s="17"/>
      <c r="G21" s="17"/>
      <c r="H21" s="17"/>
      <c r="I21" s="17"/>
      <c r="J21" s="18">
        <v>27194</v>
      </c>
      <c r="K21" s="18">
        <v>27194</v>
      </c>
      <c r="L21" s="18">
        <v>28727</v>
      </c>
      <c r="M21" s="18">
        <f t="shared" si="1"/>
        <v>83115</v>
      </c>
      <c r="N21" s="19">
        <f>M21*100/M78</f>
        <v>1.6735977049874027</v>
      </c>
    </row>
    <row r="22" spans="1:14" ht="15.75" x14ac:dyDescent="0.25">
      <c r="A22" s="17" t="s">
        <v>15</v>
      </c>
      <c r="D22" s="17"/>
      <c r="E22" s="17"/>
      <c r="F22" s="17"/>
      <c r="G22" s="17"/>
      <c r="H22" s="17"/>
      <c r="I22" s="17"/>
      <c r="J22" s="18">
        <v>14558</v>
      </c>
      <c r="K22" s="18"/>
      <c r="L22" s="18"/>
      <c r="M22" s="18">
        <f t="shared" si="1"/>
        <v>14558</v>
      </c>
      <c r="N22" s="19">
        <f>M22*100/M78</f>
        <v>0.2931388484534273</v>
      </c>
    </row>
    <row r="23" spans="1:14" ht="15.75" x14ac:dyDescent="0.25">
      <c r="A23" s="17" t="s">
        <v>17</v>
      </c>
      <c r="D23" s="17"/>
      <c r="E23" s="17"/>
      <c r="F23" s="17"/>
      <c r="G23" s="17"/>
      <c r="H23" s="17"/>
      <c r="I23" s="17"/>
      <c r="J23" s="18"/>
      <c r="K23" s="18"/>
      <c r="L23" s="18">
        <v>18647</v>
      </c>
      <c r="M23" s="18">
        <f t="shared" si="1"/>
        <v>18647</v>
      </c>
      <c r="N23" s="19">
        <f>M23*100/M78</f>
        <v>0.37547466046923056</v>
      </c>
    </row>
    <row r="24" spans="1:14" ht="15.75" x14ac:dyDescent="0.25">
      <c r="A24" s="17" t="s">
        <v>19</v>
      </c>
      <c r="B24" s="17"/>
      <c r="C24" s="17"/>
      <c r="D24" s="17"/>
      <c r="E24" s="17"/>
      <c r="F24" s="17"/>
      <c r="G24" s="17"/>
      <c r="H24" s="17"/>
      <c r="I24" s="17"/>
      <c r="J24" s="18">
        <v>24317</v>
      </c>
      <c r="K24" s="18">
        <v>23597</v>
      </c>
      <c r="L24" s="18">
        <v>24422</v>
      </c>
      <c r="M24" s="18">
        <f t="shared" si="1"/>
        <v>72336</v>
      </c>
      <c r="N24" s="19">
        <f>M24*100/M78</f>
        <v>1.4565525306860225</v>
      </c>
    </row>
    <row r="25" spans="1:14" ht="15.75" x14ac:dyDescent="0.25">
      <c r="A25" s="17" t="s">
        <v>15</v>
      </c>
      <c r="B25" s="17"/>
      <c r="C25" s="17"/>
      <c r="D25" s="17"/>
      <c r="E25" s="17"/>
      <c r="F25" s="17"/>
      <c r="G25" s="17"/>
      <c r="H25" s="17"/>
      <c r="I25" s="17"/>
      <c r="J25" s="18">
        <v>2582</v>
      </c>
      <c r="K25" s="18"/>
      <c r="L25" s="18"/>
      <c r="M25" s="18">
        <f t="shared" si="1"/>
        <v>2582</v>
      </c>
      <c r="N25" s="19">
        <f>M25*100/M78</f>
        <v>5.1990967626511148E-2</v>
      </c>
    </row>
    <row r="26" spans="1:14" ht="15.75" x14ac:dyDescent="0.25">
      <c r="A26" s="17" t="s">
        <v>20</v>
      </c>
      <c r="F26" s="17"/>
      <c r="G26" s="17"/>
      <c r="H26" s="17"/>
      <c r="I26" s="17"/>
      <c r="J26" s="18">
        <v>25064</v>
      </c>
      <c r="K26" s="18">
        <v>24399</v>
      </c>
      <c r="L26" s="18">
        <v>25839</v>
      </c>
      <c r="M26" s="18">
        <f t="shared" si="1"/>
        <v>75302</v>
      </c>
      <c r="N26" s="19">
        <f>M26*100/M78</f>
        <v>1.5162756948921543</v>
      </c>
    </row>
    <row r="27" spans="1:14" ht="15.75" x14ac:dyDescent="0.25">
      <c r="A27" s="17" t="s">
        <v>15</v>
      </c>
      <c r="B27" s="17"/>
      <c r="C27" s="17"/>
      <c r="F27" s="17"/>
      <c r="G27" s="17"/>
      <c r="H27" s="17"/>
      <c r="I27" s="17"/>
      <c r="J27" s="18">
        <v>11363</v>
      </c>
      <c r="K27" s="18"/>
      <c r="L27" s="18"/>
      <c r="M27" s="18">
        <f t="shared" si="1"/>
        <v>11363</v>
      </c>
      <c r="N27" s="19">
        <f>M27*100/M78</f>
        <v>0.22880455659955312</v>
      </c>
    </row>
    <row r="28" spans="1:14" ht="15.75" x14ac:dyDescent="0.25">
      <c r="A28" s="17" t="s">
        <v>21</v>
      </c>
      <c r="B28" s="17"/>
      <c r="C28" s="17"/>
      <c r="F28" s="17"/>
      <c r="G28" s="17"/>
      <c r="H28" s="17"/>
      <c r="I28" s="17"/>
      <c r="J28" s="18">
        <v>46599</v>
      </c>
      <c r="K28" s="18">
        <v>46599</v>
      </c>
      <c r="L28" s="18">
        <v>47039</v>
      </c>
      <c r="M28" s="18">
        <f t="shared" si="1"/>
        <v>140237</v>
      </c>
      <c r="N28" s="19">
        <f>M28*100/M78</f>
        <v>2.8238022180631464</v>
      </c>
    </row>
    <row r="29" spans="1:14" ht="15.75" x14ac:dyDescent="0.25">
      <c r="A29" s="17" t="s">
        <v>15</v>
      </c>
      <c r="B29" s="17"/>
      <c r="C29" s="17"/>
      <c r="F29" s="17"/>
      <c r="G29" s="17"/>
      <c r="H29" s="17"/>
      <c r="I29" s="17"/>
      <c r="J29" s="18">
        <v>27261</v>
      </c>
      <c r="K29" s="18"/>
      <c r="L29" s="18"/>
      <c r="M29" s="18">
        <f t="shared" si="1"/>
        <v>27261</v>
      </c>
      <c r="N29" s="19">
        <f>M29*100/M78</f>
        <v>0.54892554936728133</v>
      </c>
    </row>
    <row r="30" spans="1:14" ht="15.75" x14ac:dyDescent="0.25">
      <c r="A30" s="17" t="s">
        <v>17</v>
      </c>
      <c r="B30" s="17"/>
      <c r="C30" s="17"/>
      <c r="F30" s="17"/>
      <c r="G30" s="17"/>
      <c r="H30" s="17"/>
      <c r="I30" s="17"/>
      <c r="J30" s="18"/>
      <c r="K30" s="18">
        <v>10256</v>
      </c>
      <c r="L30" s="18"/>
      <c r="M30" s="18">
        <f t="shared" si="1"/>
        <v>10256</v>
      </c>
      <c r="N30" s="19">
        <f>M30*100/M78</f>
        <v>0.20651408364736573</v>
      </c>
    </row>
    <row r="31" spans="1:14" ht="15.75" x14ac:dyDescent="0.25">
      <c r="A31" s="17" t="s">
        <v>22</v>
      </c>
      <c r="B31" s="17"/>
      <c r="C31" s="17"/>
      <c r="F31" s="17"/>
      <c r="G31" s="17"/>
      <c r="H31" s="17"/>
      <c r="I31" s="17"/>
      <c r="J31" s="18">
        <v>17759</v>
      </c>
      <c r="K31" s="18">
        <v>19656</v>
      </c>
      <c r="L31" s="18">
        <v>20321</v>
      </c>
      <c r="M31" s="18">
        <f t="shared" si="1"/>
        <v>57736</v>
      </c>
      <c r="N31" s="19">
        <f>M31*100/M78</f>
        <v>1.1625679732316991</v>
      </c>
    </row>
    <row r="32" spans="1:14" ht="15.75" x14ac:dyDescent="0.25">
      <c r="A32" s="17" t="s">
        <v>15</v>
      </c>
      <c r="B32" s="17"/>
      <c r="C32" s="17"/>
      <c r="F32" s="17"/>
      <c r="G32" s="17"/>
      <c r="H32" s="17"/>
      <c r="I32" s="17"/>
      <c r="J32" s="18">
        <v>13181</v>
      </c>
      <c r="K32" s="18"/>
      <c r="L32" s="18"/>
      <c r="M32" s="18">
        <f t="shared" si="1"/>
        <v>13181</v>
      </c>
      <c r="N32" s="19">
        <f>M32*100/M78</f>
        <v>0.26541167478119421</v>
      </c>
    </row>
    <row r="33" spans="1:14" ht="15.75" x14ac:dyDescent="0.25">
      <c r="A33" s="17" t="s">
        <v>23</v>
      </c>
      <c r="B33" s="17"/>
      <c r="C33" s="17"/>
      <c r="D33" s="17"/>
      <c r="F33" s="17"/>
      <c r="G33" s="17"/>
      <c r="H33" s="17"/>
      <c r="I33" s="17"/>
      <c r="J33" s="18">
        <v>28958</v>
      </c>
      <c r="K33" s="18">
        <v>28958</v>
      </c>
      <c r="L33" s="18">
        <v>29798</v>
      </c>
      <c r="M33" s="18">
        <f t="shared" si="1"/>
        <v>87714</v>
      </c>
      <c r="N33" s="19">
        <f>M33*100/M78</f>
        <v>1.7662028405855146</v>
      </c>
    </row>
    <row r="34" spans="1:14" ht="15.75" x14ac:dyDescent="0.25">
      <c r="A34" s="17" t="s">
        <v>15</v>
      </c>
      <c r="B34" s="17"/>
      <c r="C34" s="17"/>
      <c r="D34" s="17"/>
      <c r="F34" s="17"/>
      <c r="G34" s="17"/>
      <c r="H34" s="17"/>
      <c r="I34" s="17"/>
      <c r="J34" s="18">
        <v>17230</v>
      </c>
      <c r="K34" s="18"/>
      <c r="L34" s="18"/>
      <c r="M34" s="18">
        <f t="shared" si="1"/>
        <v>17230</v>
      </c>
      <c r="N34" s="19">
        <f>M34*100/M78</f>
        <v>0.34694204965328701</v>
      </c>
    </row>
    <row r="35" spans="1:14" ht="15.75" x14ac:dyDescent="0.25">
      <c r="A35" s="17" t="s">
        <v>24</v>
      </c>
      <c r="B35" s="17"/>
      <c r="C35" s="17"/>
      <c r="D35" s="17"/>
      <c r="F35" s="17"/>
      <c r="G35" s="17"/>
      <c r="H35" s="17"/>
      <c r="I35" s="17"/>
      <c r="J35" s="18">
        <v>26040</v>
      </c>
      <c r="K35" s="18">
        <v>26040</v>
      </c>
      <c r="L35" s="18">
        <v>24130</v>
      </c>
      <c r="M35" s="18">
        <f t="shared" si="1"/>
        <v>76210</v>
      </c>
      <c r="N35" s="19">
        <f>M35*100/M78</f>
        <v>1.5345591180543821</v>
      </c>
    </row>
    <row r="36" spans="1:14" ht="15.75" x14ac:dyDescent="0.25">
      <c r="A36" s="17" t="s">
        <v>15</v>
      </c>
      <c r="B36" s="17"/>
      <c r="C36" s="17"/>
      <c r="D36" s="17"/>
      <c r="F36" s="17"/>
      <c r="G36" s="17"/>
      <c r="H36" s="17"/>
      <c r="I36" s="17"/>
      <c r="J36" s="18">
        <v>13971</v>
      </c>
      <c r="K36" s="18"/>
      <c r="L36" s="18"/>
      <c r="M36" s="18">
        <f t="shared" si="1"/>
        <v>13971</v>
      </c>
      <c r="N36" s="19">
        <f>M36*100/M78</f>
        <v>0.28131905836947607</v>
      </c>
    </row>
    <row r="37" spans="1:14" ht="15.75" x14ac:dyDescent="0.25">
      <c r="A37" s="17" t="s">
        <v>17</v>
      </c>
      <c r="B37" s="17"/>
      <c r="C37" s="17"/>
      <c r="D37" s="17"/>
      <c r="F37" s="17"/>
      <c r="G37" s="17"/>
      <c r="H37" s="17"/>
      <c r="I37" s="17"/>
      <c r="J37" s="18">
        <v>18855</v>
      </c>
      <c r="K37" s="18"/>
      <c r="L37" s="18"/>
      <c r="M37" s="18">
        <f t="shared" si="1"/>
        <v>18855</v>
      </c>
      <c r="N37" s="19">
        <f>M37*100/M78</f>
        <v>0.37966293361652503</v>
      </c>
    </row>
    <row r="38" spans="1:14" ht="15.75" x14ac:dyDescent="0.25">
      <c r="A38" s="17" t="s">
        <v>25</v>
      </c>
      <c r="B38" s="17"/>
      <c r="C38" s="17"/>
      <c r="D38" s="17"/>
      <c r="F38" s="17"/>
      <c r="G38" s="17"/>
      <c r="H38" s="17"/>
      <c r="I38" s="17"/>
      <c r="J38" s="18">
        <v>29302</v>
      </c>
      <c r="K38" s="18">
        <v>29344</v>
      </c>
      <c r="L38" s="18">
        <v>29835</v>
      </c>
      <c r="M38" s="18">
        <f t="shared" si="1"/>
        <v>88481</v>
      </c>
      <c r="N38" s="19">
        <f>M38*100/M78</f>
        <v>1.7816470978161629</v>
      </c>
    </row>
    <row r="39" spans="1:14" ht="15.75" x14ac:dyDescent="0.25">
      <c r="A39" s="17" t="s">
        <v>15</v>
      </c>
      <c r="D39" s="17"/>
      <c r="F39" s="17"/>
      <c r="G39" s="17"/>
      <c r="H39" s="17"/>
      <c r="I39" s="17"/>
      <c r="J39" s="18">
        <v>15807</v>
      </c>
      <c r="K39" s="18"/>
      <c r="L39" s="18"/>
      <c r="M39" s="18">
        <f t="shared" si="1"/>
        <v>15807</v>
      </c>
      <c r="N39" s="19">
        <f>M39*100/M78</f>
        <v>0.31828862326578683</v>
      </c>
    </row>
    <row r="40" spans="1:14" ht="15.75" x14ac:dyDescent="0.25">
      <c r="A40" s="17" t="s">
        <v>17</v>
      </c>
      <c r="D40" s="17"/>
      <c r="F40" s="17"/>
      <c r="G40" s="17"/>
      <c r="H40" s="17"/>
      <c r="I40" s="17"/>
      <c r="J40" s="18"/>
      <c r="K40" s="18"/>
      <c r="L40" s="18">
        <f>1020+24030</f>
        <v>25050</v>
      </c>
      <c r="M40" s="18">
        <f t="shared" si="1"/>
        <v>25050</v>
      </c>
      <c r="N40" s="19">
        <f>M40*100/M78</f>
        <v>0.50440501124868486</v>
      </c>
    </row>
    <row r="41" spans="1:14" ht="15.75" x14ac:dyDescent="0.25">
      <c r="A41" s="17" t="s">
        <v>26</v>
      </c>
      <c r="B41" s="17"/>
      <c r="F41" s="17"/>
      <c r="G41" s="17"/>
      <c r="H41" s="17"/>
      <c r="I41" s="17"/>
      <c r="J41" s="18">
        <v>25640</v>
      </c>
      <c r="K41" s="18">
        <v>25640</v>
      </c>
      <c r="L41" s="18">
        <v>26777</v>
      </c>
      <c r="M41" s="18">
        <f t="shared" si="1"/>
        <v>78057</v>
      </c>
      <c r="N41" s="19">
        <f>M41*100/M78</f>
        <v>1.5717501781652132</v>
      </c>
    </row>
    <row r="42" spans="1:14" ht="15.75" x14ac:dyDescent="0.25">
      <c r="A42" s="17" t="s">
        <v>15</v>
      </c>
      <c r="D42" s="17"/>
      <c r="F42" s="17"/>
      <c r="G42" s="17"/>
      <c r="H42" s="17"/>
      <c r="I42" s="17"/>
      <c r="J42" s="18">
        <v>13775</v>
      </c>
      <c r="K42" s="18"/>
      <c r="L42" s="18"/>
      <c r="M42" s="18">
        <f t="shared" si="1"/>
        <v>13775</v>
      </c>
      <c r="N42" s="19">
        <f>M42*100/M78</f>
        <v>0.27737241636529475</v>
      </c>
    </row>
    <row r="43" spans="1:14" ht="15.75" x14ac:dyDescent="0.25">
      <c r="A43" s="17" t="s">
        <v>27</v>
      </c>
      <c r="D43" s="17"/>
      <c r="E43" s="17"/>
      <c r="F43" s="17"/>
      <c r="G43" s="17"/>
      <c r="H43" s="17"/>
      <c r="I43" s="17"/>
      <c r="J43" s="18">
        <v>24511</v>
      </c>
      <c r="K43" s="18">
        <v>23777</v>
      </c>
      <c r="L43" s="18">
        <v>22612</v>
      </c>
      <c r="M43" s="18">
        <f t="shared" si="1"/>
        <v>70900</v>
      </c>
      <c r="N43" s="19">
        <f>M43*100/M78</f>
        <v>1.4276373372268165</v>
      </c>
    </row>
    <row r="44" spans="1:14" ht="15.75" x14ac:dyDescent="0.25">
      <c r="A44" s="17" t="s">
        <v>15</v>
      </c>
      <c r="D44" s="17"/>
      <c r="E44" s="17"/>
      <c r="F44" s="17"/>
      <c r="G44" s="17"/>
      <c r="H44" s="17"/>
      <c r="I44" s="17"/>
      <c r="J44" s="18">
        <v>12642</v>
      </c>
      <c r="K44" s="18"/>
      <c r="L44" s="18"/>
      <c r="M44" s="18">
        <f t="shared" si="1"/>
        <v>12642</v>
      </c>
      <c r="N44" s="19">
        <f>M44*100/M78</f>
        <v>0.25455840926969553</v>
      </c>
    </row>
    <row r="45" spans="1:14" ht="15.75" x14ac:dyDescent="0.25">
      <c r="A45" s="17" t="s">
        <v>17</v>
      </c>
      <c r="D45" s="17"/>
      <c r="E45" s="17"/>
      <c r="F45" s="17"/>
      <c r="G45" s="17"/>
      <c r="H45" s="17"/>
      <c r="I45" s="17"/>
      <c r="J45" s="18">
        <f>810+15666</f>
        <v>16476</v>
      </c>
      <c r="K45" s="18"/>
      <c r="L45" s="18"/>
      <c r="M45" s="18">
        <f t="shared" si="1"/>
        <v>16476</v>
      </c>
      <c r="N45" s="19">
        <f>M45*100/M78</f>
        <v>0.33175955949434455</v>
      </c>
    </row>
    <row r="46" spans="1:14" ht="15.75" x14ac:dyDescent="0.25">
      <c r="A46" s="17" t="s">
        <v>28</v>
      </c>
      <c r="D46" s="17"/>
      <c r="E46" s="17"/>
      <c r="F46" s="17"/>
      <c r="G46" s="17"/>
      <c r="H46" s="17"/>
      <c r="I46" s="17"/>
      <c r="J46" s="18">
        <v>24235</v>
      </c>
      <c r="K46" s="18">
        <v>22685</v>
      </c>
      <c r="L46" s="18">
        <v>25065</v>
      </c>
      <c r="M46" s="18">
        <f t="shared" si="1"/>
        <v>71985</v>
      </c>
      <c r="N46" s="19">
        <f>M46*100/M78</f>
        <v>1.449484819749963</v>
      </c>
    </row>
    <row r="47" spans="1:14" ht="15.75" x14ac:dyDescent="0.25">
      <c r="A47" s="17" t="s">
        <v>15</v>
      </c>
      <c r="D47" s="17"/>
      <c r="E47" s="17"/>
      <c r="F47" s="17"/>
      <c r="G47" s="17"/>
      <c r="H47" s="17"/>
      <c r="I47" s="17"/>
      <c r="J47" s="18">
        <v>13831</v>
      </c>
      <c r="K47" s="18"/>
      <c r="L47" s="18"/>
      <c r="M47" s="18">
        <f t="shared" si="1"/>
        <v>13831</v>
      </c>
      <c r="N47" s="19">
        <f>M47*100/M78</f>
        <v>0.2785000283664894</v>
      </c>
    </row>
    <row r="48" spans="1:14" ht="15.75" x14ac:dyDescent="0.25">
      <c r="A48" s="17" t="s">
        <v>17</v>
      </c>
      <c r="D48" s="17"/>
      <c r="E48" s="17"/>
      <c r="F48" s="17"/>
      <c r="G48" s="17"/>
      <c r="H48" s="17"/>
      <c r="I48" s="17"/>
      <c r="J48" s="18">
        <v>13331</v>
      </c>
      <c r="K48" s="18"/>
      <c r="L48" s="18"/>
      <c r="M48" s="18">
        <f t="shared" si="1"/>
        <v>13331</v>
      </c>
      <c r="N48" s="19">
        <f>M48*100/M78</f>
        <v>0.26843206407010844</v>
      </c>
    </row>
    <row r="49" spans="1:14" ht="15.75" x14ac:dyDescent="0.25">
      <c r="A49" s="17" t="s">
        <v>29</v>
      </c>
      <c r="B49" s="17"/>
      <c r="C49" s="17"/>
      <c r="D49" s="17"/>
      <c r="E49" s="17"/>
      <c r="F49" s="17"/>
      <c r="G49" s="17"/>
      <c r="H49" s="17"/>
      <c r="I49" s="17"/>
      <c r="J49" s="18">
        <v>50400</v>
      </c>
      <c r="K49" s="18">
        <v>50400</v>
      </c>
      <c r="L49" s="18">
        <v>52163</v>
      </c>
      <c r="M49" s="18">
        <f t="shared" si="1"/>
        <v>152963</v>
      </c>
      <c r="N49" s="19">
        <f>M49*100/M78</f>
        <v>3.0800520453346336</v>
      </c>
    </row>
    <row r="50" spans="1:14" ht="15.75" x14ac:dyDescent="0.25">
      <c r="A50" s="17" t="s">
        <v>30</v>
      </c>
      <c r="B50" s="17"/>
      <c r="C50" s="17"/>
      <c r="D50" s="17"/>
      <c r="E50" s="17"/>
      <c r="F50" s="17"/>
      <c r="G50" s="17"/>
      <c r="H50" s="17"/>
      <c r="I50" s="17"/>
      <c r="J50" s="18">
        <f>18189+162249</f>
        <v>180438</v>
      </c>
      <c r="K50" s="18">
        <f>16064+229026</f>
        <v>245090</v>
      </c>
      <c r="L50" s="18">
        <f>169174+25076</f>
        <v>194250</v>
      </c>
      <c r="M50" s="18">
        <f t="shared" si="1"/>
        <v>619778</v>
      </c>
      <c r="N50" s="19">
        <f>M50*100/M78</f>
        <v>12.479805551364766</v>
      </c>
    </row>
    <row r="51" spans="1:14" ht="15.75" x14ac:dyDescent="0.25">
      <c r="A51" s="17" t="s">
        <v>31</v>
      </c>
      <c r="B51" s="17"/>
      <c r="C51" s="17"/>
      <c r="D51" s="17"/>
      <c r="E51" s="17"/>
      <c r="F51" s="17"/>
      <c r="G51" s="17"/>
      <c r="H51" s="17"/>
      <c r="I51" s="17"/>
      <c r="J51" s="18">
        <f>16127+17136</f>
        <v>33263</v>
      </c>
      <c r="K51" s="18"/>
      <c r="L51" s="18">
        <f>23588</f>
        <v>23588</v>
      </c>
      <c r="M51" s="18">
        <f t="shared" si="1"/>
        <v>56851</v>
      </c>
      <c r="N51" s="19">
        <f>M51*100/M78</f>
        <v>1.144747676427105</v>
      </c>
    </row>
    <row r="52" spans="1:14" ht="15.75" x14ac:dyDescent="0.25">
      <c r="A52" s="17" t="s">
        <v>32</v>
      </c>
      <c r="B52" s="17"/>
      <c r="C52" s="17"/>
      <c r="D52" s="17"/>
      <c r="E52" s="17"/>
      <c r="F52" s="17"/>
      <c r="G52" s="17"/>
      <c r="H52" s="17"/>
      <c r="I52" s="17"/>
      <c r="J52" s="18">
        <f>52309</f>
        <v>52309</v>
      </c>
      <c r="K52" s="18">
        <f>6275+9774+6149+12755+22810</f>
        <v>57763</v>
      </c>
      <c r="L52" s="18">
        <v>56089</v>
      </c>
      <c r="M52" s="18">
        <f t="shared" si="1"/>
        <v>166161</v>
      </c>
      <c r="N52" s="19">
        <f>M52*100/M78</f>
        <v>3.3458060309019046</v>
      </c>
    </row>
    <row r="53" spans="1:14" ht="15.75" x14ac:dyDescent="0.25">
      <c r="A53" s="17" t="s">
        <v>33</v>
      </c>
      <c r="B53" s="17"/>
      <c r="C53" s="17"/>
      <c r="D53" s="17"/>
      <c r="E53" s="17"/>
      <c r="F53" s="17"/>
      <c r="G53" s="17"/>
      <c r="H53" s="17"/>
      <c r="I53" s="17"/>
      <c r="J53" s="18">
        <f>7158+4242.14+2571</f>
        <v>13971.14</v>
      </c>
      <c r="K53" s="18">
        <f>4314+2571+6953+2571+4214+7029</f>
        <v>27652</v>
      </c>
      <c r="L53" s="18"/>
      <c r="M53" s="18">
        <f t="shared" si="1"/>
        <v>41623.14</v>
      </c>
      <c r="N53" s="19">
        <f>M53*100/M78</f>
        <v>0.83812057484653024</v>
      </c>
    </row>
    <row r="54" spans="1:14" ht="15.75" x14ac:dyDescent="0.25">
      <c r="A54" s="17" t="s">
        <v>34</v>
      </c>
      <c r="B54" s="17"/>
      <c r="C54" s="17"/>
      <c r="D54" s="17"/>
      <c r="E54" s="17"/>
      <c r="F54" s="17"/>
      <c r="G54" s="17"/>
      <c r="H54" s="17"/>
      <c r="I54" s="17"/>
      <c r="J54" s="18">
        <f>215387+225838</f>
        <v>441225</v>
      </c>
      <c r="K54" s="18">
        <v>197969</v>
      </c>
      <c r="L54" s="18"/>
      <c r="M54" s="18">
        <f t="shared" si="1"/>
        <v>639194</v>
      </c>
      <c r="N54" s="19">
        <f>M54*100/M78</f>
        <v>12.87076474092183</v>
      </c>
    </row>
    <row r="55" spans="1:14" ht="15.75" x14ac:dyDescent="0.25">
      <c r="A55" s="17" t="s">
        <v>35</v>
      </c>
      <c r="B55" s="17"/>
      <c r="C55" s="17"/>
      <c r="D55" s="17"/>
      <c r="E55" s="17"/>
      <c r="F55" s="17"/>
      <c r="G55" s="17"/>
      <c r="H55" s="17"/>
      <c r="I55" s="17"/>
      <c r="J55" s="18">
        <f>3289+6312+8400</f>
        <v>18001</v>
      </c>
      <c r="K55" s="18">
        <f>2130+6160</f>
        <v>8290</v>
      </c>
      <c r="L55" s="18">
        <f>5050+7590</f>
        <v>12640</v>
      </c>
      <c r="M55" s="18">
        <f t="shared" si="1"/>
        <v>38931</v>
      </c>
      <c r="N55" s="19">
        <f>M55*100/M78</f>
        <v>0.78391183604481229</v>
      </c>
    </row>
    <row r="56" spans="1:14" ht="15.75" x14ac:dyDescent="0.25">
      <c r="A56" s="17" t="s">
        <v>36</v>
      </c>
      <c r="B56" s="17"/>
      <c r="C56" s="17"/>
      <c r="D56" s="17"/>
      <c r="E56" s="17"/>
      <c r="F56" s="17"/>
      <c r="G56" s="17"/>
      <c r="H56" s="17"/>
      <c r="I56" s="17"/>
      <c r="J56" s="18"/>
      <c r="K56" s="18">
        <v>2901</v>
      </c>
      <c r="L56" s="18"/>
      <c r="M56" s="18">
        <f t="shared" si="1"/>
        <v>2901</v>
      </c>
      <c r="N56" s="19">
        <f>M56*100/M78</f>
        <v>5.8414328847602184E-2</v>
      </c>
    </row>
    <row r="57" spans="1:14" ht="15.75" x14ac:dyDescent="0.25">
      <c r="A57" s="17" t="s">
        <v>37</v>
      </c>
      <c r="B57" s="17"/>
      <c r="C57" s="17"/>
      <c r="D57" s="17"/>
      <c r="E57" s="17"/>
      <c r="F57" s="17"/>
      <c r="G57" s="17"/>
      <c r="H57" s="17"/>
      <c r="I57" s="17"/>
      <c r="J57" s="18">
        <v>5200</v>
      </c>
      <c r="K57" s="18"/>
      <c r="L57" s="18"/>
      <c r="M57" s="18">
        <f t="shared" si="1"/>
        <v>5200</v>
      </c>
      <c r="N57" s="19">
        <f>M57*100/M78</f>
        <v>0.10470682868236171</v>
      </c>
    </row>
    <row r="58" spans="1:14" ht="15.75" x14ac:dyDescent="0.25">
      <c r="A58" s="17" t="s">
        <v>38</v>
      </c>
      <c r="B58" s="17"/>
      <c r="C58" s="17"/>
      <c r="D58" s="17"/>
      <c r="E58" s="17"/>
      <c r="F58" s="17"/>
      <c r="G58" s="17"/>
      <c r="H58" s="17"/>
      <c r="I58" s="17"/>
      <c r="J58" s="18">
        <v>228000</v>
      </c>
      <c r="K58" s="18">
        <v>228000</v>
      </c>
      <c r="L58" s="18">
        <v>228000</v>
      </c>
      <c r="M58" s="18">
        <f t="shared" si="1"/>
        <v>684000</v>
      </c>
      <c r="N58" s="19">
        <f>M58*100/M78</f>
        <v>13.772975157449117</v>
      </c>
    </row>
    <row r="59" spans="1:14" ht="15.75" x14ac:dyDescent="0.25">
      <c r="A59" s="17" t="s">
        <v>39</v>
      </c>
      <c r="B59" s="17"/>
      <c r="C59" s="17"/>
      <c r="D59" s="17"/>
      <c r="E59" s="17"/>
      <c r="F59" s="17"/>
      <c r="G59" s="17"/>
      <c r="H59" s="17"/>
      <c r="I59" s="17"/>
      <c r="J59" s="18">
        <v>50160</v>
      </c>
      <c r="K59" s="18">
        <v>50160</v>
      </c>
      <c r="L59" s="18">
        <v>50160</v>
      </c>
      <c r="M59" s="18">
        <f t="shared" si="1"/>
        <v>150480</v>
      </c>
      <c r="N59" s="19">
        <f>M59*100/M78</f>
        <v>3.0300545346388059</v>
      </c>
    </row>
    <row r="60" spans="1:14" ht="15.75" x14ac:dyDescent="0.25">
      <c r="A60" s="17" t="s">
        <v>40</v>
      </c>
      <c r="B60" s="17"/>
      <c r="C60" s="17"/>
      <c r="D60" s="17"/>
      <c r="E60" s="17"/>
      <c r="F60" s="17"/>
      <c r="G60" s="17"/>
      <c r="H60" s="17"/>
      <c r="I60" s="17"/>
      <c r="J60" s="18">
        <f>1046.4+818.22+0.03</f>
        <v>1864.65</v>
      </c>
      <c r="K60" s="18">
        <f>61.8+170.48+823.15</f>
        <v>1055.4299999999998</v>
      </c>
      <c r="L60" s="18">
        <f>1057.5+5836.5+62.39+62.44+5311.25+829.26</f>
        <v>13159.34</v>
      </c>
      <c r="M60" s="18">
        <f t="shared" si="1"/>
        <v>16079.42</v>
      </c>
      <c r="N60" s="19">
        <f>M60*100/M78</f>
        <v>0.32377405293302702</v>
      </c>
    </row>
    <row r="61" spans="1:14" ht="15.75" x14ac:dyDescent="0.25">
      <c r="A61" s="17" t="s">
        <v>41</v>
      </c>
      <c r="B61" s="17"/>
      <c r="C61" s="17"/>
      <c r="D61" s="17"/>
      <c r="E61" s="17"/>
      <c r="F61" s="17"/>
      <c r="G61" s="17"/>
      <c r="H61" s="17"/>
      <c r="I61" s="17"/>
      <c r="J61" s="18">
        <f>66564+70278</f>
        <v>136842</v>
      </c>
      <c r="K61" s="18">
        <v>70278.600000000006</v>
      </c>
      <c r="L61" s="18"/>
      <c r="M61" s="18">
        <f t="shared" si="1"/>
        <v>207120.6</v>
      </c>
      <c r="N61" s="19">
        <f>M61*100/M78</f>
        <v>4.1705656116899936</v>
      </c>
    </row>
    <row r="62" spans="1:14" ht="15.75" x14ac:dyDescent="0.25">
      <c r="A62" s="17" t="s">
        <v>42</v>
      </c>
      <c r="B62" s="17"/>
      <c r="C62" s="17"/>
      <c r="D62" s="17"/>
      <c r="E62" s="17"/>
      <c r="F62" s="17"/>
      <c r="G62" s="17"/>
      <c r="H62" s="17"/>
      <c r="I62" s="17"/>
      <c r="J62" s="18">
        <f>1464</f>
        <v>1464</v>
      </c>
      <c r="K62" s="18"/>
      <c r="L62" s="18"/>
      <c r="M62" s="18">
        <f t="shared" si="1"/>
        <v>1464</v>
      </c>
      <c r="N62" s="19">
        <f>M62*100/M78</f>
        <v>2.9478999459803375E-2</v>
      </c>
    </row>
    <row r="63" spans="1:14" ht="15.75" x14ac:dyDescent="0.25">
      <c r="A63" s="17" t="s">
        <v>43</v>
      </c>
      <c r="B63" s="17"/>
      <c r="C63" s="17"/>
      <c r="D63" s="17"/>
      <c r="E63" s="17"/>
      <c r="F63" s="17"/>
      <c r="G63" s="17"/>
      <c r="H63" s="17"/>
      <c r="I63" s="17"/>
      <c r="J63" s="18">
        <f>895+3718.05</f>
        <v>4613.05</v>
      </c>
      <c r="K63" s="18">
        <f>895+8764.04</f>
        <v>9659.0400000000009</v>
      </c>
      <c r="L63" s="18">
        <f>895</f>
        <v>895</v>
      </c>
      <c r="M63" s="18">
        <f t="shared" si="1"/>
        <v>15167.09</v>
      </c>
      <c r="N63" s="19">
        <f>M63*100/M78</f>
        <v>0.30540344119999263</v>
      </c>
    </row>
    <row r="64" spans="1:14" ht="15.75" x14ac:dyDescent="0.25">
      <c r="A64" s="17" t="s">
        <v>44</v>
      </c>
      <c r="B64" s="17"/>
      <c r="C64" s="17"/>
      <c r="D64" s="17"/>
      <c r="E64" s="17"/>
      <c r="F64" s="17"/>
      <c r="G64" s="17"/>
      <c r="H64" s="17"/>
      <c r="I64" s="17"/>
      <c r="J64" s="18">
        <v>10400</v>
      </c>
      <c r="K64" s="18">
        <f>6077+4473</f>
        <v>10550</v>
      </c>
      <c r="L64" s="18"/>
      <c r="M64" s="18">
        <f t="shared" si="1"/>
        <v>20950</v>
      </c>
      <c r="N64" s="19">
        <f>M64*100/M78</f>
        <v>0.42184770401836114</v>
      </c>
    </row>
    <row r="65" spans="1:15" ht="15.75" x14ac:dyDescent="0.25">
      <c r="A65" s="17" t="s">
        <v>45</v>
      </c>
      <c r="B65" s="17"/>
      <c r="C65" s="17"/>
      <c r="D65" s="17"/>
      <c r="E65" s="17"/>
      <c r="F65" s="17"/>
      <c r="G65" s="17"/>
      <c r="H65" s="17"/>
      <c r="I65" s="17"/>
      <c r="J65" s="18">
        <v>1021</v>
      </c>
      <c r="K65" s="18"/>
      <c r="L65" s="18"/>
      <c r="M65" s="18">
        <f t="shared" si="1"/>
        <v>1021</v>
      </c>
      <c r="N65" s="19">
        <f>M65*100/M78</f>
        <v>2.0558783093209868E-2</v>
      </c>
    </row>
    <row r="66" spans="1:15" ht="15.75" x14ac:dyDescent="0.25">
      <c r="A66" s="17" t="s">
        <v>46</v>
      </c>
      <c r="B66" s="17"/>
      <c r="C66" s="17"/>
      <c r="D66" s="17"/>
      <c r="E66" s="17"/>
      <c r="F66" s="17"/>
      <c r="G66" s="17"/>
      <c r="H66" s="17"/>
      <c r="I66" s="17"/>
      <c r="J66" s="18">
        <f>41019</f>
        <v>41019</v>
      </c>
      <c r="K66" s="20">
        <f>3217+1378+2958+5165+2227+8963+2168+5858</f>
        <v>31934</v>
      </c>
      <c r="L66" s="18">
        <f>1039+2390+6110+2876+649+1466+10580+5220+2600+7278+4868+403+957+5848+1063+1339+1588</f>
        <v>56274</v>
      </c>
      <c r="M66" s="18">
        <f t="shared" si="1"/>
        <v>129227</v>
      </c>
      <c r="N66" s="19">
        <f>M66*100/M78</f>
        <v>2.602105644256838</v>
      </c>
    </row>
    <row r="67" spans="1:15" ht="15.75" x14ac:dyDescent="0.25">
      <c r="A67" s="17" t="s">
        <v>47</v>
      </c>
      <c r="B67" s="17"/>
      <c r="C67" s="17"/>
      <c r="D67" s="17"/>
      <c r="E67" s="17"/>
      <c r="F67" s="17"/>
      <c r="G67" s="17"/>
      <c r="H67" s="17"/>
      <c r="I67" s="17"/>
      <c r="J67" s="18"/>
      <c r="K67" s="21"/>
      <c r="L67" s="18">
        <f>36000</f>
        <v>36000</v>
      </c>
      <c r="M67" s="18">
        <f t="shared" si="1"/>
        <v>36000</v>
      </c>
      <c r="N67" s="19">
        <f>M67*100/M78</f>
        <v>0.72489342933942724</v>
      </c>
    </row>
    <row r="68" spans="1:15" ht="15.75" x14ac:dyDescent="0.25">
      <c r="A68" s="17" t="s">
        <v>48</v>
      </c>
      <c r="B68" s="17"/>
      <c r="C68" s="17"/>
      <c r="D68" s="17"/>
      <c r="E68" s="17"/>
      <c r="F68" s="17"/>
      <c r="G68" s="17"/>
      <c r="H68" s="17"/>
      <c r="I68" s="17"/>
      <c r="J68" s="18">
        <f>11102</f>
        <v>11102</v>
      </c>
      <c r="K68" s="18"/>
      <c r="L68" s="18">
        <f>4200+8500</f>
        <v>12700</v>
      </c>
      <c r="M68" s="18">
        <f t="shared" si="1"/>
        <v>23802</v>
      </c>
      <c r="N68" s="19">
        <f>M68*100/M78</f>
        <v>0.47927537236491802</v>
      </c>
    </row>
    <row r="69" spans="1:15" ht="15.75" x14ac:dyDescent="0.25">
      <c r="A69" s="17" t="s">
        <v>49</v>
      </c>
      <c r="B69" s="17"/>
      <c r="C69" s="17"/>
      <c r="D69" s="17"/>
      <c r="E69" s="17"/>
      <c r="F69" s="17"/>
      <c r="G69" s="17"/>
      <c r="H69" s="17"/>
      <c r="I69" s="17"/>
      <c r="J69" s="18">
        <v>2100</v>
      </c>
      <c r="K69" s="18">
        <f>2100</f>
        <v>2100</v>
      </c>
      <c r="L69" s="18">
        <f>2100</f>
        <v>2100</v>
      </c>
      <c r="M69" s="18">
        <f t="shared" si="1"/>
        <v>6300</v>
      </c>
      <c r="N69" s="19">
        <f>M69*100/M78</f>
        <v>0.12685635013439978</v>
      </c>
    </row>
    <row r="70" spans="1:15" ht="15.75" x14ac:dyDescent="0.25">
      <c r="A70" s="17" t="s">
        <v>50</v>
      </c>
      <c r="B70" s="17"/>
      <c r="C70" s="17"/>
      <c r="D70" s="17"/>
      <c r="E70" s="17"/>
      <c r="F70" s="17"/>
      <c r="G70" s="17"/>
      <c r="H70" s="17"/>
      <c r="I70" s="17"/>
      <c r="J70" s="18">
        <f>45000+35000+24744+26879</f>
        <v>131623</v>
      </c>
      <c r="K70" s="18">
        <f>35000+38000+35000+35000</f>
        <v>143000</v>
      </c>
      <c r="L70" s="18">
        <f>29900+31300+35000</f>
        <v>96200</v>
      </c>
      <c r="M70" s="18">
        <f t="shared" si="1"/>
        <v>370823</v>
      </c>
      <c r="N70" s="19">
        <f>M70*100/M78</f>
        <v>7.466865448553734</v>
      </c>
    </row>
    <row r="71" spans="1:15" ht="15.75" x14ac:dyDescent="0.25">
      <c r="A71" s="17" t="s">
        <v>51</v>
      </c>
      <c r="B71" s="17"/>
      <c r="C71" s="17"/>
      <c r="D71" s="17"/>
      <c r="E71" s="17"/>
      <c r="F71" s="17"/>
      <c r="G71" s="17"/>
      <c r="H71" s="17"/>
      <c r="I71" s="17"/>
      <c r="J71" s="18">
        <f>2880</f>
        <v>2880</v>
      </c>
      <c r="K71" s="18"/>
      <c r="L71" s="18"/>
      <c r="M71" s="18">
        <f t="shared" si="1"/>
        <v>2880</v>
      </c>
      <c r="N71" s="19">
        <f>M71*100/M78</f>
        <v>5.7991474347154182E-2</v>
      </c>
    </row>
    <row r="72" spans="1:15" ht="15.75" x14ac:dyDescent="0.25">
      <c r="A72" s="17" t="s">
        <v>52</v>
      </c>
      <c r="B72" s="17"/>
      <c r="C72" s="17"/>
      <c r="D72" s="17"/>
      <c r="E72" s="17"/>
      <c r="F72" s="17"/>
      <c r="G72" s="17"/>
      <c r="H72" s="17"/>
      <c r="I72" s="17"/>
      <c r="J72" s="18"/>
      <c r="K72" s="18">
        <v>34600</v>
      </c>
      <c r="L72" s="18"/>
      <c r="M72" s="18">
        <f t="shared" si="1"/>
        <v>34600</v>
      </c>
      <c r="N72" s="19">
        <f>M72*100/M78</f>
        <v>0.69670312930956069</v>
      </c>
    </row>
    <row r="73" spans="1:15" ht="15.75" x14ac:dyDescent="0.25">
      <c r="A73" s="17" t="s">
        <v>53</v>
      </c>
      <c r="B73" s="17"/>
      <c r="C73" s="17"/>
      <c r="D73" s="17"/>
      <c r="E73" s="17"/>
      <c r="F73" s="17"/>
      <c r="G73" s="17"/>
      <c r="H73" s="17"/>
      <c r="I73" s="17"/>
      <c r="J73" s="18">
        <v>7930</v>
      </c>
      <c r="K73" s="18">
        <f>7930+7930</f>
        <v>15860</v>
      </c>
      <c r="L73" s="18"/>
      <c r="M73" s="18">
        <f t="shared" si="1"/>
        <v>23790</v>
      </c>
      <c r="N73" s="19">
        <f>M73*100/M78</f>
        <v>0.47903374122180487</v>
      </c>
    </row>
    <row r="74" spans="1:15" ht="15.75" x14ac:dyDescent="0.25">
      <c r="A74" s="17" t="s">
        <v>54</v>
      </c>
      <c r="B74" s="17"/>
      <c r="C74" s="17"/>
      <c r="D74" s="17"/>
      <c r="E74" s="17"/>
      <c r="F74" s="17"/>
      <c r="G74" s="17"/>
      <c r="H74" s="17"/>
      <c r="I74" s="17"/>
      <c r="J74" s="18">
        <f>9990+21000+1840+1850</f>
        <v>34680</v>
      </c>
      <c r="K74" s="18">
        <f>21000</f>
        <v>21000</v>
      </c>
      <c r="L74" s="21">
        <v>21000</v>
      </c>
      <c r="M74" s="18">
        <f t="shared" si="1"/>
        <v>76680</v>
      </c>
      <c r="N74" s="19">
        <f>M74*100/M78</f>
        <v>1.5440230044929801</v>
      </c>
    </row>
    <row r="75" spans="1:15" ht="15.75" x14ac:dyDescent="0.25">
      <c r="A75" s="22" t="s">
        <v>55</v>
      </c>
      <c r="B75" s="17"/>
      <c r="C75" s="17"/>
      <c r="D75" s="17"/>
      <c r="E75" s="17"/>
      <c r="F75" s="17"/>
      <c r="G75" s="17"/>
      <c r="H75" s="17"/>
      <c r="I75" s="17"/>
      <c r="J75" s="18">
        <v>5800</v>
      </c>
      <c r="K75" s="18">
        <f>4000+618+5800</f>
        <v>10418</v>
      </c>
      <c r="L75" s="18">
        <v>3700</v>
      </c>
      <c r="M75" s="18">
        <f t="shared" si="1"/>
        <v>19918</v>
      </c>
      <c r="N75" s="19">
        <f>M75*100/M78</f>
        <v>0.40106742571063092</v>
      </c>
    </row>
    <row r="76" spans="1:15" ht="15.75" x14ac:dyDescent="0.25">
      <c r="A76" s="17" t="s">
        <v>56</v>
      </c>
      <c r="B76" s="17"/>
      <c r="C76" s="17"/>
      <c r="D76" s="17"/>
      <c r="E76" s="17"/>
      <c r="F76" s="17"/>
      <c r="G76" s="17"/>
      <c r="H76" s="17"/>
      <c r="I76" s="17"/>
      <c r="J76" s="18"/>
      <c r="K76" s="18">
        <f>4956</f>
        <v>4956</v>
      </c>
      <c r="L76" s="18">
        <v>20116</v>
      </c>
      <c r="M76" s="18">
        <f t="shared" si="1"/>
        <v>25072</v>
      </c>
      <c r="N76" s="19">
        <f>M76*100/M78</f>
        <v>0.50484800167772559</v>
      </c>
    </row>
    <row r="77" spans="1:15" ht="16.5" thickBot="1" x14ac:dyDescent="0.3">
      <c r="A77" s="17" t="s">
        <v>57</v>
      </c>
      <c r="B77" s="17"/>
      <c r="C77" s="17"/>
      <c r="D77" s="17"/>
      <c r="E77" s="17"/>
      <c r="F77" s="17"/>
      <c r="G77" s="17"/>
      <c r="H77" s="17"/>
      <c r="I77" s="17"/>
      <c r="J77" s="18"/>
      <c r="K77" s="18"/>
      <c r="L77" s="18">
        <v>60</v>
      </c>
      <c r="M77" s="18">
        <f t="shared" si="1"/>
        <v>60</v>
      </c>
      <c r="N77" s="19">
        <f>M77*100/M78</f>
        <v>1.2081557155657122E-3</v>
      </c>
    </row>
    <row r="78" spans="1:15" ht="16.5" thickBot="1" x14ac:dyDescent="0.3">
      <c r="A78" s="6" t="s">
        <v>58</v>
      </c>
      <c r="B78" s="6"/>
      <c r="J78" s="23">
        <f>SUM(J15:J77)</f>
        <v>2064243.84</v>
      </c>
      <c r="K78" s="23">
        <f>SUM(K15:K77)</f>
        <v>1609191.07</v>
      </c>
      <c r="L78" s="23">
        <f>SUM(L15:L77)</f>
        <v>1292812.3399999999</v>
      </c>
      <c r="M78" s="23">
        <f>SUM(M15:M77)</f>
        <v>4966247.25</v>
      </c>
      <c r="N78" s="24">
        <f>SUM(N15:N77)</f>
        <v>100</v>
      </c>
      <c r="O78" s="25"/>
    </row>
    <row r="79" spans="1:15" ht="15.75" x14ac:dyDescent="0.25">
      <c r="A79" s="6"/>
      <c r="B79" s="6"/>
      <c r="J79" s="26"/>
      <c r="K79" s="26"/>
      <c r="L79" s="26"/>
      <c r="M79" s="27">
        <f>M78-M76-M77</f>
        <v>4941115.25</v>
      </c>
      <c r="N79" s="25"/>
      <c r="O79" s="25"/>
    </row>
    <row r="80" spans="1:15" ht="15.75" x14ac:dyDescent="0.25">
      <c r="A80" s="6"/>
      <c r="B80" s="6"/>
      <c r="J80" s="26"/>
      <c r="K80" s="26"/>
      <c r="L80" s="26"/>
      <c r="M80" s="28"/>
      <c r="N80" s="25"/>
      <c r="O80" s="25"/>
    </row>
    <row r="81" spans="1:15" ht="21.75" x14ac:dyDescent="0.55000000000000004">
      <c r="A81" s="9" t="s">
        <v>4</v>
      </c>
      <c r="B81" s="9"/>
      <c r="C81" s="9"/>
      <c r="D81" s="9"/>
      <c r="E81" s="9"/>
      <c r="F81" s="29" t="s">
        <v>59</v>
      </c>
      <c r="G81" s="14"/>
      <c r="H81" s="14"/>
      <c r="I81" s="30"/>
      <c r="K81" s="26"/>
      <c r="L81" s="26"/>
      <c r="O81" s="31"/>
    </row>
    <row r="82" spans="1:15" ht="21.75" x14ac:dyDescent="0.55000000000000004">
      <c r="A82" s="9"/>
      <c r="B82" s="9"/>
      <c r="C82" s="9"/>
      <c r="D82" s="9"/>
      <c r="E82" s="9"/>
      <c r="F82" s="9"/>
      <c r="G82" s="11"/>
      <c r="H82" s="6"/>
      <c r="I82" s="6"/>
      <c r="J82" s="8" t="s">
        <v>8</v>
      </c>
      <c r="K82" s="9" t="s">
        <v>9</v>
      </c>
      <c r="L82" s="8" t="s">
        <v>10</v>
      </c>
      <c r="M82" s="32" t="s">
        <v>60</v>
      </c>
      <c r="N82" s="8" t="s">
        <v>12</v>
      </c>
      <c r="O82" s="31"/>
    </row>
    <row r="83" spans="1:15" ht="15.75" x14ac:dyDescent="0.25">
      <c r="A83" s="33" t="s">
        <v>61</v>
      </c>
      <c r="B83" s="33"/>
      <c r="C83" s="33"/>
      <c r="D83" s="33"/>
      <c r="E83" s="33"/>
      <c r="F83" s="33"/>
      <c r="G83" s="33"/>
      <c r="H83" s="33"/>
      <c r="I83" s="33"/>
      <c r="J83" s="18">
        <f>5376.75+3601.9+5445.84</f>
        <v>14424.49</v>
      </c>
      <c r="K83" s="18"/>
      <c r="L83" s="18">
        <f>818.37+236.49+5987.88+828.12+1004.18+2306.82</f>
        <v>11181.859999999999</v>
      </c>
      <c r="M83" s="18">
        <f t="shared" ref="M83:M90" si="2">J83+K83+L83</f>
        <v>25606.35</v>
      </c>
      <c r="N83" s="19">
        <f>SUM(J83+K83+L83)*100/M90</f>
        <v>64.262417765758329</v>
      </c>
      <c r="O83" s="26"/>
    </row>
    <row r="84" spans="1:15" ht="15.75" x14ac:dyDescent="0.25">
      <c r="A84" s="33" t="s">
        <v>62</v>
      </c>
      <c r="B84" s="33"/>
      <c r="C84" s="33"/>
      <c r="D84" s="33"/>
      <c r="E84" s="33"/>
      <c r="F84" s="33"/>
      <c r="G84" s="33"/>
      <c r="H84" s="33"/>
      <c r="I84" s="33"/>
      <c r="J84" s="34">
        <v>22.2</v>
      </c>
      <c r="K84" s="34"/>
      <c r="L84" s="34"/>
      <c r="M84" s="18">
        <f t="shared" si="2"/>
        <v>22.2</v>
      </c>
      <c r="N84" s="19">
        <f>SUM(J84+K84+L84)*100/M90</f>
        <v>5.5713745785706863E-2</v>
      </c>
      <c r="O84" s="26"/>
    </row>
    <row r="85" spans="1:15" ht="15.75" x14ac:dyDescent="0.25">
      <c r="A85" s="33" t="s">
        <v>63</v>
      </c>
      <c r="B85" s="33"/>
      <c r="C85" s="33"/>
      <c r="D85" s="33"/>
      <c r="E85" s="33"/>
      <c r="F85" s="33"/>
      <c r="G85" s="33"/>
      <c r="H85" s="33"/>
      <c r="I85" s="33"/>
      <c r="J85" s="34"/>
      <c r="K85" s="34"/>
      <c r="L85" s="34">
        <v>463.6</v>
      </c>
      <c r="M85" s="18">
        <f t="shared" si="2"/>
        <v>463.6</v>
      </c>
      <c r="N85" s="19">
        <f>SUM(J85+K85+L85)*100/M90</f>
        <v>1.1634636282096262</v>
      </c>
      <c r="O85" s="26"/>
    </row>
    <row r="86" spans="1:15" ht="15.75" x14ac:dyDescent="0.25">
      <c r="A86" s="33" t="s">
        <v>64</v>
      </c>
      <c r="B86" s="33"/>
      <c r="C86" s="33"/>
      <c r="D86" s="33"/>
      <c r="E86" s="33"/>
      <c r="F86" s="33"/>
      <c r="G86" s="33"/>
      <c r="H86" s="33"/>
      <c r="I86" s="33"/>
      <c r="J86" s="34">
        <f>305+1857.05+27.87+541.07</f>
        <v>2730.9900000000002</v>
      </c>
      <c r="K86" s="34">
        <f>298.48+51.38+90.49+1123.05+65</f>
        <v>1628.4</v>
      </c>
      <c r="L86" s="34"/>
      <c r="M86" s="18">
        <f t="shared" si="2"/>
        <v>4359.3900000000003</v>
      </c>
      <c r="N86" s="19">
        <f>SUM(J86+K86+L86)*100/M90</f>
        <v>10.940448028862733</v>
      </c>
      <c r="O86" s="26"/>
    </row>
    <row r="87" spans="1:15" ht="15.75" x14ac:dyDescent="0.25">
      <c r="A87" s="33" t="s">
        <v>65</v>
      </c>
      <c r="B87" s="33"/>
      <c r="C87" s="33"/>
      <c r="D87" s="33"/>
      <c r="E87" s="33"/>
      <c r="F87" s="33"/>
      <c r="G87" s="33"/>
      <c r="H87" s="33"/>
      <c r="I87" s="33"/>
      <c r="J87" s="34"/>
      <c r="K87" s="34">
        <v>610</v>
      </c>
      <c r="L87" s="34"/>
      <c r="M87" s="18">
        <f t="shared" si="2"/>
        <v>610</v>
      </c>
      <c r="N87" s="19">
        <f>SUM(J87+K87+L87)*100/M90</f>
        <v>1.5308731950126662</v>
      </c>
      <c r="O87" s="26"/>
    </row>
    <row r="88" spans="1:15" ht="15.75" x14ac:dyDescent="0.25">
      <c r="A88" s="33" t="s">
        <v>66</v>
      </c>
      <c r="B88" s="33"/>
      <c r="C88" s="33"/>
      <c r="D88" s="33"/>
      <c r="E88" s="33"/>
      <c r="F88" s="33"/>
      <c r="G88" s="33"/>
      <c r="H88" s="33"/>
      <c r="I88" s="33"/>
      <c r="J88" s="34">
        <v>7400</v>
      </c>
      <c r="K88" s="18"/>
      <c r="L88" s="34"/>
      <c r="M88" s="18">
        <f t="shared" si="2"/>
        <v>7400</v>
      </c>
      <c r="N88" s="19">
        <f>SUM(J88+K88+L88)*100/M90</f>
        <v>18.57124859523562</v>
      </c>
      <c r="O88" s="26"/>
    </row>
    <row r="89" spans="1:15" ht="16.5" thickBot="1" x14ac:dyDescent="0.3">
      <c r="A89" s="33" t="s">
        <v>67</v>
      </c>
      <c r="B89" s="33"/>
      <c r="C89" s="33"/>
      <c r="D89" s="33"/>
      <c r="E89" s="33"/>
      <c r="F89" s="33"/>
      <c r="G89" s="33"/>
      <c r="H89" s="33"/>
      <c r="I89" s="33"/>
      <c r="J89" s="34"/>
      <c r="K89" s="18">
        <f>305+501+114+160</f>
        <v>1080</v>
      </c>
      <c r="L89" s="34">
        <f>305</f>
        <v>305</v>
      </c>
      <c r="M89" s="18">
        <f t="shared" si="2"/>
        <v>1385</v>
      </c>
      <c r="N89" s="19">
        <f>SUM(J89+K89+L89)*100/M90</f>
        <v>3.4758350411353156</v>
      </c>
      <c r="O89" s="26"/>
    </row>
    <row r="90" spans="1:15" ht="16.5" thickBot="1" x14ac:dyDescent="0.3">
      <c r="A90" s="6" t="s">
        <v>58</v>
      </c>
      <c r="B90" s="6"/>
      <c r="C90" s="7"/>
      <c r="J90" s="35">
        <f>SUM(J83:J89)</f>
        <v>24577.68</v>
      </c>
      <c r="K90" s="35">
        <f>SUM(K83:K89)</f>
        <v>3318.4</v>
      </c>
      <c r="L90" s="35">
        <f>SUM(L83:L89)</f>
        <v>11950.46</v>
      </c>
      <c r="M90" s="23">
        <f t="shared" si="2"/>
        <v>39846.54</v>
      </c>
      <c r="N90" s="36">
        <f>SUM(N83:N89)</f>
        <v>99.999999999999986</v>
      </c>
      <c r="O90" s="26"/>
    </row>
    <row r="91" spans="1:15" ht="15.75" x14ac:dyDescent="0.25">
      <c r="A91" s="6"/>
      <c r="B91" s="6"/>
      <c r="C91" s="7"/>
      <c r="J91" s="26"/>
      <c r="K91" s="26"/>
      <c r="L91" s="26"/>
      <c r="M91" s="37">
        <f>M90-M83</f>
        <v>14240.190000000002</v>
      </c>
      <c r="N91" s="25"/>
      <c r="O91" s="25"/>
    </row>
    <row r="93" spans="1:15" ht="19.5" x14ac:dyDescent="0.4">
      <c r="A93" s="6" t="s">
        <v>68</v>
      </c>
      <c r="B93" s="6"/>
      <c r="C93" s="12"/>
      <c r="D93" s="11" t="s">
        <v>6</v>
      </c>
      <c r="E93" s="11"/>
      <c r="F93" s="6" t="s">
        <v>6</v>
      </c>
      <c r="G93" s="6"/>
      <c r="H93" s="6"/>
      <c r="J93" s="8" t="s">
        <v>8</v>
      </c>
      <c r="K93" s="9" t="s">
        <v>9</v>
      </c>
      <c r="L93" s="8" t="s">
        <v>10</v>
      </c>
    </row>
    <row r="94" spans="1:15" x14ac:dyDescent="0.25">
      <c r="A94" t="s">
        <v>69</v>
      </c>
      <c r="F94" s="7"/>
      <c r="J94" s="21">
        <v>75373.06</v>
      </c>
    </row>
    <row r="95" spans="1:15" x14ac:dyDescent="0.25">
      <c r="A95" t="s">
        <v>70</v>
      </c>
      <c r="J95" s="21">
        <f>3232165.33+14000+33400</f>
        <v>3279565.33</v>
      </c>
      <c r="K95" s="38">
        <f>463390+11000+12000</f>
        <v>486390</v>
      </c>
      <c r="L95" s="38">
        <f>21870+11000+6000+16000+24000+14841+25180+2900+18000+10000+21279+12000</f>
        <v>183070</v>
      </c>
    </row>
    <row r="96" spans="1:15" x14ac:dyDescent="0.25">
      <c r="A96" s="33" t="s">
        <v>71</v>
      </c>
      <c r="B96" s="33"/>
      <c r="C96" s="33"/>
      <c r="D96" s="33"/>
      <c r="E96" s="33"/>
      <c r="J96" s="21">
        <f>832.16+42.14+112.6</f>
        <v>986.9</v>
      </c>
      <c r="K96" s="38">
        <f>1136.42</f>
        <v>1136.42</v>
      </c>
      <c r="L96" s="38">
        <f>1108.11</f>
        <v>1108.1099999999999</v>
      </c>
    </row>
    <row r="97" spans="1:15" x14ac:dyDescent="0.25">
      <c r="A97" s="33" t="s">
        <v>72</v>
      </c>
      <c r="B97" s="33"/>
      <c r="C97" s="33"/>
      <c r="D97" s="33"/>
      <c r="E97" s="33"/>
      <c r="J97" s="21">
        <f>497781.47</f>
        <v>497781.47</v>
      </c>
      <c r="K97" s="39"/>
      <c r="L97" s="38">
        <f>316671.02+82169</f>
        <v>398840.02</v>
      </c>
    </row>
    <row r="98" spans="1:15" x14ac:dyDescent="0.25">
      <c r="A98" t="s">
        <v>73</v>
      </c>
      <c r="J98" s="21"/>
      <c r="K98" s="38"/>
      <c r="L98" s="38">
        <f>50000</f>
        <v>50000</v>
      </c>
    </row>
    <row r="99" spans="1:15" ht="15.75" x14ac:dyDescent="0.25">
      <c r="A99" s="33" t="s">
        <v>74</v>
      </c>
      <c r="J99" s="21"/>
      <c r="K99" s="38"/>
      <c r="L99" s="40"/>
    </row>
    <row r="100" spans="1:15" ht="16.5" thickBot="1" x14ac:dyDescent="0.3">
      <c r="A100" s="41" t="s">
        <v>75</v>
      </c>
      <c r="B100" s="41"/>
      <c r="C100" s="41"/>
      <c r="D100" s="12"/>
      <c r="E100" s="12"/>
      <c r="J100" s="28">
        <f>SUM(J94:J99)</f>
        <v>3853706.76</v>
      </c>
      <c r="K100" s="42">
        <f>SUM(K94:K99)</f>
        <v>487526.42</v>
      </c>
      <c r="L100" s="42">
        <f>SUM(L94:L99)</f>
        <v>633018.13</v>
      </c>
      <c r="M100" s="42">
        <f>J100+K100+L100</f>
        <v>4974251.3099999996</v>
      </c>
      <c r="N100" s="43"/>
      <c r="O100" s="43"/>
    </row>
    <row r="101" spans="1:15" ht="16.5" thickBot="1" x14ac:dyDescent="0.3">
      <c r="A101" s="6" t="s">
        <v>76</v>
      </c>
      <c r="B101" s="6"/>
      <c r="C101" s="6"/>
      <c r="D101" s="12"/>
      <c r="E101" s="12"/>
      <c r="I101" s="6"/>
      <c r="J101" s="7"/>
      <c r="M101" s="36">
        <f>M100-M78</f>
        <v>8004.0599999995902</v>
      </c>
      <c r="N101" s="44"/>
      <c r="O101" s="44"/>
    </row>
    <row r="102" spans="1:15" ht="15.75" x14ac:dyDescent="0.25">
      <c r="A102" s="6"/>
      <c r="B102" s="6"/>
      <c r="C102" s="6"/>
      <c r="D102" s="12"/>
      <c r="E102" s="12"/>
      <c r="F102" s="41"/>
      <c r="G102" s="41"/>
      <c r="H102" s="41"/>
      <c r="I102" s="41"/>
      <c r="M102" s="45"/>
      <c r="N102" s="41"/>
      <c r="O102" s="41"/>
    </row>
    <row r="103" spans="1:15" ht="19.5" x14ac:dyDescent="0.4">
      <c r="A103" s="6" t="s">
        <v>68</v>
      </c>
      <c r="B103" s="6"/>
      <c r="C103" s="6"/>
      <c r="D103" s="11" t="s">
        <v>59</v>
      </c>
      <c r="E103" s="11"/>
      <c r="F103" s="6" t="s">
        <v>77</v>
      </c>
      <c r="G103" s="7"/>
      <c r="I103" s="6"/>
      <c r="J103" s="8" t="s">
        <v>8</v>
      </c>
      <c r="K103" s="9" t="s">
        <v>9</v>
      </c>
      <c r="L103" s="8" t="s">
        <v>10</v>
      </c>
      <c r="M103" s="45"/>
      <c r="N103" s="41"/>
      <c r="O103" s="41"/>
    </row>
    <row r="104" spans="1:15" ht="15.75" x14ac:dyDescent="0.25">
      <c r="A104" s="33" t="s">
        <v>69</v>
      </c>
      <c r="B104" s="33"/>
      <c r="C104" s="33"/>
      <c r="D104" s="33"/>
      <c r="E104" s="33"/>
      <c r="F104" s="6"/>
      <c r="G104" s="6"/>
      <c r="H104" s="6"/>
      <c r="I104" s="6"/>
      <c r="J104" s="18">
        <v>62899.26</v>
      </c>
      <c r="M104" s="45"/>
      <c r="N104" s="41"/>
      <c r="O104" s="41"/>
    </row>
    <row r="105" spans="1:15" x14ac:dyDescent="0.25">
      <c r="A105" s="33" t="s">
        <v>78</v>
      </c>
      <c r="J105" s="18">
        <v>30459</v>
      </c>
      <c r="K105" s="18">
        <f>550</f>
        <v>550</v>
      </c>
      <c r="L105" s="18">
        <f>500+600</f>
        <v>1100</v>
      </c>
      <c r="M105" s="46"/>
    </row>
    <row r="106" spans="1:15" x14ac:dyDescent="0.25">
      <c r="A106" s="33" t="s">
        <v>79</v>
      </c>
      <c r="B106" s="33"/>
      <c r="C106" s="33"/>
      <c r="D106" s="33"/>
      <c r="E106" s="33"/>
      <c r="F106" s="33"/>
      <c r="G106" s="33"/>
      <c r="J106" s="18"/>
      <c r="K106" s="18"/>
      <c r="L106" s="18"/>
      <c r="M106" s="46"/>
    </row>
    <row r="107" spans="1:15" ht="16.5" thickBot="1" x14ac:dyDescent="0.3">
      <c r="A107" s="41" t="s">
        <v>80</v>
      </c>
      <c r="B107" s="41"/>
      <c r="C107" s="41"/>
      <c r="D107" s="41"/>
      <c r="E107" s="41"/>
      <c r="J107" s="42">
        <f>SUM(J104:J106)</f>
        <v>93358.260000000009</v>
      </c>
      <c r="K107" s="35">
        <f>SUM(K104:K106)</f>
        <v>550</v>
      </c>
      <c r="L107" s="23">
        <f>SUM(L104:L106)</f>
        <v>1100</v>
      </c>
      <c r="M107" s="27">
        <f>J107+K107+L107</f>
        <v>95008.260000000009</v>
      </c>
      <c r="N107" s="25"/>
      <c r="O107" s="25"/>
    </row>
    <row r="108" spans="1:15" ht="16.5" thickBot="1" x14ac:dyDescent="0.3">
      <c r="A108" s="6" t="s">
        <v>76</v>
      </c>
      <c r="B108" s="6"/>
      <c r="C108" s="6"/>
      <c r="M108" s="36">
        <f>M107-M90</f>
        <v>55161.720000000008</v>
      </c>
      <c r="N108" s="44"/>
      <c r="O108" s="44"/>
    </row>
    <row r="109" spans="1:15" ht="15.75" x14ac:dyDescent="0.25">
      <c r="A109" s="6"/>
      <c r="B109" s="6"/>
      <c r="C109" s="6"/>
      <c r="F109" s="41"/>
      <c r="M109" s="26"/>
      <c r="N109" s="26"/>
      <c r="O109" s="26"/>
    </row>
    <row r="110" spans="1:15" ht="20.25" thickBot="1" x14ac:dyDescent="0.45">
      <c r="A110" s="6" t="s">
        <v>81</v>
      </c>
      <c r="B110" s="6"/>
      <c r="C110" s="6"/>
      <c r="D110" s="11" t="s">
        <v>6</v>
      </c>
      <c r="E110" s="11"/>
      <c r="F110" s="41"/>
      <c r="J110" s="8" t="s">
        <v>8</v>
      </c>
      <c r="K110" s="9" t="s">
        <v>82</v>
      </c>
      <c r="L110" s="8" t="s">
        <v>10</v>
      </c>
      <c r="M110" s="44"/>
      <c r="N110" s="44"/>
      <c r="O110" s="44"/>
    </row>
    <row r="111" spans="1:15" ht="16.5" thickBot="1" x14ac:dyDescent="0.3">
      <c r="A111" s="17" t="s">
        <v>83</v>
      </c>
      <c r="B111" s="17"/>
      <c r="C111" s="33"/>
      <c r="D111" s="6"/>
      <c r="E111" s="6"/>
      <c r="F111" s="41"/>
      <c r="I111" s="47" t="s">
        <v>84</v>
      </c>
      <c r="J111" s="48">
        <v>24393.02</v>
      </c>
      <c r="K111" s="49">
        <f>J121</f>
        <v>59038.020000000004</v>
      </c>
      <c r="L111" s="49">
        <f>K121</f>
        <v>75218.02</v>
      </c>
      <c r="M111" s="50" t="s">
        <v>85</v>
      </c>
      <c r="N111" s="51" t="s">
        <v>68</v>
      </c>
      <c r="O111" s="44"/>
    </row>
    <row r="112" spans="1:15" ht="16.5" thickBot="1" x14ac:dyDescent="0.3">
      <c r="A112" s="17" t="s">
        <v>86</v>
      </c>
      <c r="B112" s="17"/>
      <c r="C112" s="33"/>
      <c r="D112" s="33"/>
      <c r="E112" s="33"/>
      <c r="F112" s="33"/>
      <c r="I112" s="52">
        <f>SUM(J112+K112+L112)*100/N112</f>
        <v>0</v>
      </c>
      <c r="J112" s="48"/>
      <c r="K112" s="48"/>
      <c r="L112" s="48"/>
      <c r="M112" s="53">
        <f t="shared" ref="M112:M120" si="3">J112+K112+L112</f>
        <v>0</v>
      </c>
      <c r="N112" s="54">
        <f>M112+M113+M114+M115+M116+M117+M118+M119</f>
        <v>87870</v>
      </c>
      <c r="O112" s="44"/>
    </row>
    <row r="113" spans="1:15" ht="16.5" thickBot="1" x14ac:dyDescent="0.3">
      <c r="A113" s="17" t="s">
        <v>87</v>
      </c>
      <c r="B113" s="17"/>
      <c r="C113" s="33"/>
      <c r="D113" s="33"/>
      <c r="E113" s="33"/>
      <c r="F113" s="33"/>
      <c r="G113" s="33"/>
      <c r="I113" s="55">
        <f>SUM(J113+K113+L113)*100/N112</f>
        <v>22.328439740525777</v>
      </c>
      <c r="J113" s="48">
        <f>400+400+700+700+700+700+400</f>
        <v>4000</v>
      </c>
      <c r="K113" s="48">
        <f>7350+400</f>
        <v>7750</v>
      </c>
      <c r="L113" s="48">
        <v>7870</v>
      </c>
      <c r="M113" s="56">
        <f t="shared" si="3"/>
        <v>19620</v>
      </c>
      <c r="N113" s="57" t="s">
        <v>88</v>
      </c>
      <c r="O113" s="44"/>
    </row>
    <row r="114" spans="1:15" ht="16.5" thickBot="1" x14ac:dyDescent="0.3">
      <c r="A114" s="17" t="s">
        <v>89</v>
      </c>
      <c r="B114" s="17"/>
      <c r="C114" s="33"/>
      <c r="D114" s="33"/>
      <c r="E114" s="33"/>
      <c r="F114" s="33"/>
      <c r="G114" s="33"/>
      <c r="I114" s="55">
        <f>SUM(J114+K114+L114)*100/N112</f>
        <v>0</v>
      </c>
      <c r="J114" s="48"/>
      <c r="K114" s="48"/>
      <c r="L114" s="48"/>
      <c r="M114" s="53">
        <f t="shared" si="3"/>
        <v>0</v>
      </c>
      <c r="N114" s="58">
        <f>J111</f>
        <v>24393.02</v>
      </c>
      <c r="O114" s="44"/>
    </row>
    <row r="115" spans="1:15" ht="16.5" thickBot="1" x14ac:dyDescent="0.3">
      <c r="A115" s="17" t="s">
        <v>90</v>
      </c>
      <c r="B115" s="17"/>
      <c r="C115" s="33"/>
      <c r="D115" s="33"/>
      <c r="E115" s="33"/>
      <c r="F115" s="33"/>
      <c r="G115" s="33"/>
      <c r="I115" s="55">
        <f>SUM(J115+K115+L115)*100/N112</f>
        <v>0</v>
      </c>
      <c r="J115" s="48"/>
      <c r="K115" s="48"/>
      <c r="L115" s="48"/>
      <c r="M115" s="53">
        <f t="shared" si="3"/>
        <v>0</v>
      </c>
      <c r="N115" s="59"/>
      <c r="O115" s="44"/>
    </row>
    <row r="116" spans="1:15" ht="16.5" thickBot="1" x14ac:dyDescent="0.3">
      <c r="A116" s="17" t="s">
        <v>91</v>
      </c>
      <c r="B116" s="17"/>
      <c r="C116" s="33"/>
      <c r="D116" s="33"/>
      <c r="E116" s="33"/>
      <c r="F116" s="33"/>
      <c r="G116" s="33"/>
      <c r="I116" s="55">
        <f>SUM(J116+K116+L116)*100/N112</f>
        <v>72.83486969386594</v>
      </c>
      <c r="J116" s="48">
        <f>30000+2000+2000</f>
        <v>34000</v>
      </c>
      <c r="K116" s="48">
        <f>6000+4000+2000</f>
        <v>12000</v>
      </c>
      <c r="L116" s="48">
        <v>18000</v>
      </c>
      <c r="M116" s="53">
        <f t="shared" si="3"/>
        <v>64000</v>
      </c>
      <c r="N116" s="59" t="s">
        <v>92</v>
      </c>
      <c r="O116" s="44"/>
    </row>
    <row r="117" spans="1:15" ht="16.5" thickBot="1" x14ac:dyDescent="0.3">
      <c r="A117" s="17" t="s">
        <v>93</v>
      </c>
      <c r="B117" s="17"/>
      <c r="C117" s="33"/>
      <c r="D117" s="33"/>
      <c r="E117" s="33"/>
      <c r="F117" s="33"/>
      <c r="G117" s="33"/>
      <c r="I117" s="55">
        <f>SUM(J117+K117+L117)*100/N112</f>
        <v>0</v>
      </c>
      <c r="J117" s="48"/>
      <c r="K117" s="48"/>
      <c r="L117" s="48"/>
      <c r="M117" s="53">
        <f t="shared" si="3"/>
        <v>0</v>
      </c>
      <c r="N117" s="54">
        <f>J120+K120+L120</f>
        <v>108205</v>
      </c>
      <c r="O117" s="44"/>
    </row>
    <row r="118" spans="1:15" ht="16.5" thickBot="1" x14ac:dyDescent="0.3">
      <c r="A118" s="17" t="s">
        <v>94</v>
      </c>
      <c r="B118" s="17"/>
      <c r="C118" s="33"/>
      <c r="D118" s="33"/>
      <c r="E118" s="33"/>
      <c r="F118" s="33"/>
      <c r="G118" s="33"/>
      <c r="I118" s="55">
        <f>SUM(J118+K118+L118)*100/N112</f>
        <v>0</v>
      </c>
      <c r="J118" s="48"/>
      <c r="K118" s="48"/>
      <c r="L118" s="48"/>
      <c r="M118" s="56">
        <f t="shared" si="3"/>
        <v>0</v>
      </c>
      <c r="N118" s="60" t="s">
        <v>95</v>
      </c>
      <c r="O118" s="44"/>
    </row>
    <row r="119" spans="1:15" ht="16.5" thickBot="1" x14ac:dyDescent="0.3">
      <c r="A119" s="17" t="s">
        <v>96</v>
      </c>
      <c r="B119" s="17"/>
      <c r="C119" s="33"/>
      <c r="D119" s="33"/>
      <c r="E119" s="33"/>
      <c r="F119" s="33"/>
      <c r="G119" s="33"/>
      <c r="I119" s="61">
        <f>SUM(J119+K119+L119)*100/N112</f>
        <v>4.8366905656082846</v>
      </c>
      <c r="J119" s="48">
        <f>4000</f>
        <v>4000</v>
      </c>
      <c r="K119" s="48"/>
      <c r="L119" s="48">
        <f>250</f>
        <v>250</v>
      </c>
      <c r="M119" s="56">
        <f t="shared" si="3"/>
        <v>4250</v>
      </c>
      <c r="N119" s="60">
        <f>N112-N117</f>
        <v>-20335</v>
      </c>
      <c r="O119" s="44"/>
    </row>
    <row r="120" spans="1:15" ht="18" thickBot="1" x14ac:dyDescent="0.4">
      <c r="A120" s="17" t="s">
        <v>97</v>
      </c>
      <c r="B120" s="17"/>
      <c r="C120" s="6"/>
      <c r="D120" s="6"/>
      <c r="E120" s="6"/>
      <c r="F120" s="41"/>
      <c r="I120" s="62">
        <f>SUM(J120+K120+L120)*100/N112</f>
        <v>123.14214180038694</v>
      </c>
      <c r="J120" s="63">
        <f>1600+765+1550+1550+1890</f>
        <v>7355</v>
      </c>
      <c r="K120" s="64">
        <v>3570</v>
      </c>
      <c r="L120" s="64">
        <f>93867+1785+1628</f>
        <v>97280</v>
      </c>
      <c r="M120" s="53">
        <f t="shared" si="3"/>
        <v>108205</v>
      </c>
      <c r="N120" s="65" t="s">
        <v>98</v>
      </c>
      <c r="O120" s="44"/>
    </row>
    <row r="121" spans="1:15" ht="16.5" thickBot="1" x14ac:dyDescent="0.3">
      <c r="A121" s="6" t="s">
        <v>99</v>
      </c>
      <c r="B121" s="6"/>
      <c r="I121" s="60">
        <f>SUM(I112:I119)</f>
        <v>100</v>
      </c>
      <c r="J121" s="62">
        <f>SUM(J111:J119)-J120</f>
        <v>59038.020000000004</v>
      </c>
      <c r="K121" s="62">
        <f>SUM(K111:K119)-K120</f>
        <v>75218.02</v>
      </c>
      <c r="L121" s="62">
        <f>SUM(L111:L119)-L120</f>
        <v>4058.0200000000041</v>
      </c>
      <c r="N121" s="36">
        <f>L121</f>
        <v>4058.0200000000041</v>
      </c>
      <c r="O121" s="44"/>
    </row>
    <row r="122" spans="1:15" ht="15.75" x14ac:dyDescent="0.25">
      <c r="A122" s="6"/>
      <c r="B122" s="6"/>
      <c r="J122" s="66"/>
      <c r="K122" s="66"/>
      <c r="L122" s="67"/>
      <c r="M122" s="66"/>
      <c r="N122" s="68"/>
      <c r="O122" s="68"/>
    </row>
    <row r="127" spans="1:15" x14ac:dyDescent="0.25">
      <c r="M127" s="69"/>
      <c r="N127" s="69"/>
      <c r="O127" s="69"/>
    </row>
    <row r="137" spans="1:15" ht="15.75" x14ac:dyDescent="0.25">
      <c r="A137" s="6" t="s">
        <v>100</v>
      </c>
      <c r="B137" s="6"/>
      <c r="C137" s="6"/>
      <c r="D137" s="6"/>
      <c r="E137" s="6"/>
      <c r="F137" s="6"/>
      <c r="G137" s="6"/>
      <c r="H137" s="6"/>
      <c r="I137" s="6"/>
      <c r="J137" s="6"/>
    </row>
    <row r="138" spans="1:15" ht="15.75" x14ac:dyDescent="0.25">
      <c r="A138" s="70" t="s">
        <v>101</v>
      </c>
      <c r="B138" s="70"/>
      <c r="C138" s="71" t="s">
        <v>5</v>
      </c>
      <c r="D138" s="71"/>
      <c r="E138" s="71"/>
      <c r="F138" s="70"/>
      <c r="G138" s="70" t="s">
        <v>102</v>
      </c>
      <c r="H138" s="70"/>
      <c r="I138" s="72">
        <f>E140*35/100</f>
        <v>2290580.0777999996</v>
      </c>
      <c r="J138" s="73">
        <f>I138/B346</f>
        <v>199.91971004145762</v>
      </c>
      <c r="K138" s="74" t="s">
        <v>103</v>
      </c>
      <c r="L138" s="70"/>
      <c r="M138" s="70"/>
      <c r="N138" s="75">
        <f>M33+M35+M38+M41+M55</f>
        <v>369393</v>
      </c>
      <c r="O138" s="48">
        <f>N138/F347/28</f>
        <v>8.633283692179976</v>
      </c>
    </row>
    <row r="139" spans="1:15" x14ac:dyDescent="0.25">
      <c r="A139" s="70" t="s">
        <v>104</v>
      </c>
      <c r="B139" s="70"/>
      <c r="C139" s="73">
        <f>M79+M117</f>
        <v>4941115.25</v>
      </c>
      <c r="D139" s="70" t="s">
        <v>105</v>
      </c>
      <c r="E139" s="76">
        <f>C139+C140*O139</f>
        <v>5453762.0899999999</v>
      </c>
      <c r="F139" s="77"/>
      <c r="G139" s="70" t="s">
        <v>106</v>
      </c>
      <c r="H139" s="70"/>
      <c r="I139" s="78">
        <v>300</v>
      </c>
      <c r="J139" s="70"/>
      <c r="K139" t="s">
        <v>107</v>
      </c>
      <c r="L139" s="79">
        <f>L140/B347</f>
        <v>0</v>
      </c>
      <c r="M139" s="80"/>
      <c r="N139" s="81" t="s">
        <v>108</v>
      </c>
      <c r="O139" s="80">
        <v>36</v>
      </c>
    </row>
    <row r="140" spans="1:15" x14ac:dyDescent="0.25">
      <c r="A140" s="82" t="s">
        <v>109</v>
      </c>
      <c r="B140" s="70"/>
      <c r="C140" s="48">
        <f>M91</f>
        <v>14240.190000000002</v>
      </c>
      <c r="D140" s="83" t="s">
        <v>110</v>
      </c>
      <c r="E140" s="76">
        <f>E139*1.2</f>
        <v>6544514.5079999994</v>
      </c>
      <c r="F140" s="84"/>
      <c r="G140" s="70" t="s">
        <v>111</v>
      </c>
      <c r="H140" s="70"/>
      <c r="I140" s="85">
        <f>E140*65/100</f>
        <v>4253934.4301999994</v>
      </c>
      <c r="J140" s="73">
        <f>I140/B347</f>
        <v>439.03559609753893</v>
      </c>
      <c r="K140" s="83" t="s">
        <v>112</v>
      </c>
      <c r="L140" s="48"/>
      <c r="M140" s="70"/>
      <c r="N140" s="86" t="s">
        <v>113</v>
      </c>
      <c r="O140" s="87" t="s">
        <v>114</v>
      </c>
    </row>
    <row r="141" spans="1:15" x14ac:dyDescent="0.25">
      <c r="A141" s="88" t="s">
        <v>115</v>
      </c>
      <c r="B141" s="88" t="s">
        <v>116</v>
      </c>
      <c r="C141" s="88" t="s">
        <v>117</v>
      </c>
      <c r="D141" s="89" t="s">
        <v>118</v>
      </c>
      <c r="E141" s="90" t="s">
        <v>119</v>
      </c>
      <c r="F141" s="91" t="s">
        <v>120</v>
      </c>
      <c r="G141" s="90" t="s">
        <v>121</v>
      </c>
      <c r="H141" s="92" t="s">
        <v>122</v>
      </c>
      <c r="I141" s="92" t="s">
        <v>112</v>
      </c>
      <c r="J141" s="92" t="s">
        <v>123</v>
      </c>
      <c r="K141" s="92" t="s">
        <v>124</v>
      </c>
      <c r="L141" s="93" t="s">
        <v>125</v>
      </c>
      <c r="M141" s="94" t="s">
        <v>126</v>
      </c>
      <c r="N141" s="95" t="s">
        <v>60</v>
      </c>
      <c r="O141" s="95" t="s">
        <v>60</v>
      </c>
    </row>
    <row r="142" spans="1:15" x14ac:dyDescent="0.25">
      <c r="A142" s="60" t="s">
        <v>127</v>
      </c>
      <c r="B142" s="78">
        <v>86.23</v>
      </c>
      <c r="C142" s="96">
        <f>[1]Hoja1!N508</f>
        <v>13253.755435280651</v>
      </c>
      <c r="D142" s="73"/>
      <c r="E142" s="49">
        <f>379*35</f>
        <v>13265</v>
      </c>
      <c r="F142" s="78"/>
      <c r="G142" s="49"/>
      <c r="H142" s="48">
        <f>F142+G142+(J138*B142)</f>
        <v>17239.076596874893</v>
      </c>
      <c r="I142" s="49"/>
      <c r="J142" s="48">
        <f t="shared" ref="J142:J205" si="4">H142+I142</f>
        <v>17239.076596874893</v>
      </c>
      <c r="K142" s="70"/>
      <c r="L142" s="48">
        <f t="shared" ref="L142:L205" si="5">SUM(J142)*20/100</f>
        <v>3447.8153193749786</v>
      </c>
      <c r="M142" s="48">
        <v>-11</v>
      </c>
      <c r="N142" s="97">
        <f t="shared" ref="N142:N205" si="6">J142+K142-L142+M142</f>
        <v>13780.261277499914</v>
      </c>
      <c r="O142" s="98">
        <f>N142/O139</f>
        <v>382.78503548610871</v>
      </c>
    </row>
    <row r="143" spans="1:15" x14ac:dyDescent="0.25">
      <c r="A143" s="60" t="s">
        <v>128</v>
      </c>
      <c r="B143" s="78">
        <v>43.33</v>
      </c>
      <c r="C143" s="96">
        <f>[1]Hoja1!N509</f>
        <v>6659.923727365308</v>
      </c>
      <c r="D143" s="73"/>
      <c r="E143" s="48">
        <v>6660</v>
      </c>
      <c r="F143" s="78"/>
      <c r="G143" s="49"/>
      <c r="H143" s="48">
        <f>F143+G143+(J138*B143)</f>
        <v>8662.5210360963574</v>
      </c>
      <c r="I143" s="49"/>
      <c r="J143" s="48">
        <f t="shared" si="4"/>
        <v>8662.5210360963574</v>
      </c>
      <c r="K143" s="70"/>
      <c r="L143" s="48">
        <f t="shared" si="5"/>
        <v>1732.5042072192714</v>
      </c>
      <c r="M143" s="48">
        <v>0</v>
      </c>
      <c r="N143" s="97">
        <f t="shared" si="6"/>
        <v>6930.0168288770856</v>
      </c>
      <c r="O143" s="98">
        <f>N143/O139</f>
        <v>192.50046746880793</v>
      </c>
    </row>
    <row r="144" spans="1:15" x14ac:dyDescent="0.25">
      <c r="A144" s="60" t="s">
        <v>129</v>
      </c>
      <c r="B144" s="78">
        <v>41.82</v>
      </c>
      <c r="C144" s="96">
        <f>[1]Hoja1!N510</f>
        <v>6427.8331474363531</v>
      </c>
      <c r="D144" s="48"/>
      <c r="E144" s="48">
        <v>6428</v>
      </c>
      <c r="F144" s="78"/>
      <c r="G144" s="49"/>
      <c r="H144" s="48">
        <f>F144+G144+(J138*B144)</f>
        <v>8360.6422739337577</v>
      </c>
      <c r="I144" s="49"/>
      <c r="J144" s="48">
        <f t="shared" si="4"/>
        <v>8360.6422739337577</v>
      </c>
      <c r="K144" s="70"/>
      <c r="L144" s="48">
        <f t="shared" si="5"/>
        <v>1672.1284547867515</v>
      </c>
      <c r="M144" s="48">
        <v>0</v>
      </c>
      <c r="N144" s="97">
        <f t="shared" si="6"/>
        <v>6688.513819147006</v>
      </c>
      <c r="O144" s="98">
        <f>N144/O139</f>
        <v>185.79205053186126</v>
      </c>
    </row>
    <row r="145" spans="1:15" x14ac:dyDescent="0.25">
      <c r="A145" s="60" t="s">
        <v>130</v>
      </c>
      <c r="B145" s="78">
        <v>54.75</v>
      </c>
      <c r="C145" s="96">
        <f>[1]Hoja1!N511</f>
        <v>8895.2048020597886</v>
      </c>
      <c r="D145" s="48"/>
      <c r="E145" s="48">
        <v>8895</v>
      </c>
      <c r="F145" s="78"/>
      <c r="G145" s="49">
        <f>I139*2</f>
        <v>600</v>
      </c>
      <c r="H145" s="48">
        <f>F145+G145+(J138*B145)</f>
        <v>11545.604124769805</v>
      </c>
      <c r="I145" s="49"/>
      <c r="J145" s="48">
        <f t="shared" si="4"/>
        <v>11545.604124769805</v>
      </c>
      <c r="K145" s="70"/>
      <c r="L145" s="48">
        <f t="shared" si="5"/>
        <v>2309.1208249539609</v>
      </c>
      <c r="M145" s="73">
        <v>0</v>
      </c>
      <c r="N145" s="97">
        <f t="shared" si="6"/>
        <v>9236.4832998158436</v>
      </c>
      <c r="O145" s="98">
        <f>N145/O139</f>
        <v>256.56898055044007</v>
      </c>
    </row>
    <row r="146" spans="1:15" x14ac:dyDescent="0.25">
      <c r="A146" s="60" t="s">
        <v>131</v>
      </c>
      <c r="B146" s="78">
        <v>44.8</v>
      </c>
      <c r="C146" s="96">
        <f>[1]Hoja1!N512</f>
        <v>6852.8662124617067</v>
      </c>
      <c r="D146" s="48"/>
      <c r="E146" s="48">
        <v>7000</v>
      </c>
      <c r="F146" s="78"/>
      <c r="G146" s="49"/>
      <c r="H146" s="48">
        <f>F146+G146+(J138*B146)</f>
        <v>8956.4030098573003</v>
      </c>
      <c r="I146" s="49"/>
      <c r="J146" s="48">
        <f t="shared" si="4"/>
        <v>8956.4030098573003</v>
      </c>
      <c r="K146" s="70"/>
      <c r="L146" s="48">
        <f t="shared" si="5"/>
        <v>1791.2806019714599</v>
      </c>
      <c r="M146" s="48">
        <v>-147</v>
      </c>
      <c r="N146" s="97">
        <f t="shared" si="6"/>
        <v>7018.1224078858404</v>
      </c>
      <c r="O146" s="98">
        <f>N146/O139</f>
        <v>194.94784466349557</v>
      </c>
    </row>
    <row r="147" spans="1:15" x14ac:dyDescent="0.25">
      <c r="A147" s="60" t="s">
        <v>132</v>
      </c>
      <c r="B147" s="78">
        <v>41.86</v>
      </c>
      <c r="C147" s="96">
        <f>[1]Hoja1!N513</f>
        <v>6431.9812422689083</v>
      </c>
      <c r="D147" s="73"/>
      <c r="E147" s="48">
        <v>6887</v>
      </c>
      <c r="F147" s="78"/>
      <c r="G147" s="49"/>
      <c r="H147" s="48">
        <f>F147+G147+(J138*B147)</f>
        <v>8368.6390623354164</v>
      </c>
      <c r="I147" s="49"/>
      <c r="J147" s="48">
        <f t="shared" si="4"/>
        <v>8368.6390623354164</v>
      </c>
      <c r="K147" s="70"/>
      <c r="L147" s="48">
        <f t="shared" si="5"/>
        <v>1673.7278124670834</v>
      </c>
      <c r="M147" s="48">
        <v>-455</v>
      </c>
      <c r="N147" s="97">
        <f t="shared" si="6"/>
        <v>6239.9112498683335</v>
      </c>
      <c r="O147" s="98">
        <f>N147/O139</f>
        <v>173.33086805189816</v>
      </c>
    </row>
    <row r="148" spans="1:15" x14ac:dyDescent="0.25">
      <c r="A148" s="60" t="s">
        <v>133</v>
      </c>
      <c r="B148" s="78">
        <v>71.099999999999994</v>
      </c>
      <c r="C148" s="96">
        <f>[1]Hoja1!N514</f>
        <v>10928.238564866682</v>
      </c>
      <c r="D148" s="48"/>
      <c r="E148" s="48">
        <v>10928</v>
      </c>
      <c r="F148" s="78"/>
      <c r="G148" s="49"/>
      <c r="H148" s="48">
        <f>F148+G148+(J138*B148)</f>
        <v>14214.291383947635</v>
      </c>
      <c r="I148" s="49"/>
      <c r="J148" s="48">
        <f t="shared" si="4"/>
        <v>14214.291383947635</v>
      </c>
      <c r="K148" s="70"/>
      <c r="L148" s="48">
        <f t="shared" si="5"/>
        <v>2842.8582767895273</v>
      </c>
      <c r="M148" s="48">
        <v>9</v>
      </c>
      <c r="N148" s="97">
        <f t="shared" si="6"/>
        <v>11380.433107158107</v>
      </c>
      <c r="O148" s="98">
        <f>N148/O139</f>
        <v>316.12314186550299</v>
      </c>
    </row>
    <row r="149" spans="1:15" x14ac:dyDescent="0.25">
      <c r="A149" s="60" t="s">
        <v>134</v>
      </c>
      <c r="B149" s="78">
        <v>57.23</v>
      </c>
      <c r="C149" s="96">
        <f>[1]Hoja1!N515</f>
        <v>8796.3866816782029</v>
      </c>
      <c r="D149" s="48"/>
      <c r="E149" s="48">
        <v>0</v>
      </c>
      <c r="F149" s="78"/>
      <c r="G149" s="49"/>
      <c r="H149" s="48">
        <f>F149+G149+(J138*B149)</f>
        <v>11441.405005672619</v>
      </c>
      <c r="I149" s="49">
        <f>H149*10/100</f>
        <v>1144.1405005672618</v>
      </c>
      <c r="J149" s="48">
        <f t="shared" si="4"/>
        <v>12585.545506239881</v>
      </c>
      <c r="K149" s="70"/>
      <c r="L149" s="48">
        <f t="shared" si="5"/>
        <v>2517.1091012479765</v>
      </c>
      <c r="M149" s="48">
        <v>11985</v>
      </c>
      <c r="N149" s="97">
        <f t="shared" si="6"/>
        <v>22053.436404991906</v>
      </c>
      <c r="O149" s="98">
        <f>N149/O139</f>
        <v>612.59545569421959</v>
      </c>
    </row>
    <row r="150" spans="1:15" x14ac:dyDescent="0.25">
      <c r="A150" s="60" t="s">
        <v>135</v>
      </c>
      <c r="B150" s="78">
        <v>259.13</v>
      </c>
      <c r="C150" s="96">
        <f>[1]Hoja1!N516</f>
        <v>39828.895349000049</v>
      </c>
      <c r="D150" s="73"/>
      <c r="E150" s="49">
        <v>0</v>
      </c>
      <c r="F150" s="78"/>
      <c r="G150" s="49"/>
      <c r="H150" s="48">
        <f>F150+G150+(J138*B150)</f>
        <v>51805.194463042913</v>
      </c>
      <c r="I150" s="49">
        <f>H150*10/100</f>
        <v>5180.5194463042917</v>
      </c>
      <c r="J150" s="48">
        <f t="shared" si="4"/>
        <v>56985.713909347207</v>
      </c>
      <c r="K150" s="70"/>
      <c r="L150" s="48">
        <f t="shared" si="5"/>
        <v>11397.142781869441</v>
      </c>
      <c r="M150" s="48">
        <v>54267</v>
      </c>
      <c r="N150" s="97">
        <f t="shared" si="6"/>
        <v>99855.571127477771</v>
      </c>
      <c r="O150" s="98">
        <f>N150/O139</f>
        <v>2773.7658646521604</v>
      </c>
    </row>
    <row r="151" spans="1:15" x14ac:dyDescent="0.25">
      <c r="A151" s="99">
        <v>101</v>
      </c>
      <c r="B151" s="78">
        <v>26.96</v>
      </c>
      <c r="C151" s="96">
        <f>[1]Hoja1!N517</f>
        <v>4143.8159171421348</v>
      </c>
      <c r="D151" s="48"/>
      <c r="E151" s="48">
        <v>4144</v>
      </c>
      <c r="F151" s="78"/>
      <c r="G151" s="78"/>
      <c r="H151" s="48">
        <f>F151+G151+(J138*B151)</f>
        <v>5389.8353827176979</v>
      </c>
      <c r="I151" s="49"/>
      <c r="J151" s="48">
        <f t="shared" si="4"/>
        <v>5389.8353827176979</v>
      </c>
      <c r="K151" s="70"/>
      <c r="L151" s="48">
        <f t="shared" si="5"/>
        <v>1077.9670765435396</v>
      </c>
      <c r="M151" s="73">
        <v>0</v>
      </c>
      <c r="N151" s="97">
        <f t="shared" si="6"/>
        <v>4311.8683061741585</v>
      </c>
      <c r="O151" s="98">
        <f>N151/O139</f>
        <v>119.77411961594885</v>
      </c>
    </row>
    <row r="152" spans="1:15" x14ac:dyDescent="0.25">
      <c r="A152" s="99">
        <v>102</v>
      </c>
      <c r="B152" s="78">
        <v>27.83</v>
      </c>
      <c r="C152" s="96">
        <f>[1]Hoja1!N518</f>
        <v>-1311.463020249792</v>
      </c>
      <c r="D152" s="48"/>
      <c r="E152" s="48">
        <f>4000</f>
        <v>4000</v>
      </c>
      <c r="F152" s="78"/>
      <c r="G152" s="49"/>
      <c r="H152" s="48">
        <f>F152+G152+(J138*B152)</f>
        <v>5563.7655304537648</v>
      </c>
      <c r="I152" s="49"/>
      <c r="J152" s="48">
        <f t="shared" si="4"/>
        <v>5563.7655304537648</v>
      </c>
      <c r="K152" s="70"/>
      <c r="L152" s="48">
        <f t="shared" si="5"/>
        <v>1112.7531060907529</v>
      </c>
      <c r="M152" s="48">
        <v>-5311</v>
      </c>
      <c r="N152" s="97">
        <f t="shared" si="6"/>
        <v>-859.98757563698837</v>
      </c>
      <c r="O152" s="98">
        <f>N152/O139</f>
        <v>-23.88854376769412</v>
      </c>
    </row>
    <row r="153" spans="1:15" x14ac:dyDescent="0.25">
      <c r="A153" s="99">
        <v>103</v>
      </c>
      <c r="B153" s="78">
        <v>27.68</v>
      </c>
      <c r="C153" s="96">
        <f>[1]Hoja1!N519</f>
        <v>-1184.5183758718731</v>
      </c>
      <c r="D153" s="48"/>
      <c r="E153" s="48">
        <v>0</v>
      </c>
      <c r="F153" s="78"/>
      <c r="G153" s="49">
        <f>I139</f>
        <v>300</v>
      </c>
      <c r="H153" s="48">
        <f>F153+G153+(J138*B153)</f>
        <v>5833.7775739475464</v>
      </c>
      <c r="I153" s="49"/>
      <c r="J153" s="48">
        <f t="shared" si="4"/>
        <v>5833.7775739475464</v>
      </c>
      <c r="K153" s="70"/>
      <c r="L153" s="48">
        <f t="shared" si="5"/>
        <v>1166.7555147895093</v>
      </c>
      <c r="M153" s="48">
        <v>-1184</v>
      </c>
      <c r="N153" s="97">
        <f t="shared" si="6"/>
        <v>3483.0220591580373</v>
      </c>
      <c r="O153" s="98">
        <f>N153/O139</f>
        <v>96.75061275438992</v>
      </c>
    </row>
    <row r="154" spans="1:15" x14ac:dyDescent="0.25">
      <c r="A154" s="99">
        <v>104</v>
      </c>
      <c r="B154" s="78">
        <v>38.32</v>
      </c>
      <c r="C154" s="96">
        <f>[1]Hoja1!N520</f>
        <v>5889.8748495877826</v>
      </c>
      <c r="D154" s="48"/>
      <c r="E154" s="48">
        <v>5890</v>
      </c>
      <c r="F154" s="78"/>
      <c r="G154" s="49"/>
      <c r="H154" s="48">
        <f>F154+G154+(J138*B154)</f>
        <v>7660.9232887886565</v>
      </c>
      <c r="I154" s="49"/>
      <c r="J154" s="48">
        <f t="shared" si="4"/>
        <v>7660.9232887886565</v>
      </c>
      <c r="K154" s="70"/>
      <c r="L154" s="48">
        <f t="shared" si="5"/>
        <v>1532.1846577577314</v>
      </c>
      <c r="M154" s="73">
        <v>0</v>
      </c>
      <c r="N154" s="97">
        <f t="shared" si="6"/>
        <v>6128.7386310309248</v>
      </c>
      <c r="O154" s="98">
        <f>N154/O139</f>
        <v>170.24273975085902</v>
      </c>
    </row>
    <row r="155" spans="1:15" x14ac:dyDescent="0.25">
      <c r="A155" s="99">
        <v>105</v>
      </c>
      <c r="B155" s="78">
        <v>27.49</v>
      </c>
      <c r="C155" s="96">
        <f>[1]Hoja1!N521</f>
        <v>4225.2781736734896</v>
      </c>
      <c r="D155" s="48"/>
      <c r="E155" s="48">
        <v>4221</v>
      </c>
      <c r="F155" s="78"/>
      <c r="G155" s="49"/>
      <c r="H155" s="48">
        <f>F155+G155+(J138*B155)</f>
        <v>5495.7928290396694</v>
      </c>
      <c r="I155" s="49"/>
      <c r="J155" s="48">
        <f t="shared" si="4"/>
        <v>5495.7928290396694</v>
      </c>
      <c r="K155" s="70"/>
      <c r="L155" s="48">
        <f t="shared" si="5"/>
        <v>1099.1585658079339</v>
      </c>
      <c r="M155" s="48">
        <v>0</v>
      </c>
      <c r="N155" s="97">
        <f t="shared" si="6"/>
        <v>4396.6342632317355</v>
      </c>
      <c r="O155" s="98">
        <f>N155/O139</f>
        <v>122.12872953421487</v>
      </c>
    </row>
    <row r="156" spans="1:15" x14ac:dyDescent="0.25">
      <c r="A156" s="99">
        <v>106</v>
      </c>
      <c r="B156" s="78">
        <v>27.68</v>
      </c>
      <c r="C156" s="96">
        <f>[1]Hoja1!N522</f>
        <v>4254.4816241281269</v>
      </c>
      <c r="D156" s="48"/>
      <c r="E156" s="48">
        <v>4254</v>
      </c>
      <c r="F156" s="78"/>
      <c r="G156" s="49"/>
      <c r="H156" s="48">
        <f>F156+G156+(J138*B156)</f>
        <v>5533.7775739475464</v>
      </c>
      <c r="I156" s="49"/>
      <c r="J156" s="48">
        <f t="shared" si="4"/>
        <v>5533.7775739475464</v>
      </c>
      <c r="K156" s="70"/>
      <c r="L156" s="48">
        <f t="shared" si="5"/>
        <v>1106.7555147895093</v>
      </c>
      <c r="M156" s="48">
        <v>0</v>
      </c>
      <c r="N156" s="97">
        <f t="shared" si="6"/>
        <v>4427.0220591580373</v>
      </c>
      <c r="O156" s="98">
        <f>N156/O139</f>
        <v>122.97283497661215</v>
      </c>
    </row>
    <row r="157" spans="1:15" x14ac:dyDescent="0.25">
      <c r="A157" s="99">
        <v>107</v>
      </c>
      <c r="B157" s="78">
        <v>27.69</v>
      </c>
      <c r="C157" s="96">
        <f>[1]Hoja1!N523</f>
        <v>4256.0186478362657</v>
      </c>
      <c r="D157" s="48"/>
      <c r="E157" s="48">
        <v>4256</v>
      </c>
      <c r="F157" s="78"/>
      <c r="G157" s="49"/>
      <c r="H157" s="48">
        <f>F157+G157+(J138*B157)</f>
        <v>5535.776771047962</v>
      </c>
      <c r="I157" s="49"/>
      <c r="J157" s="48">
        <f t="shared" si="4"/>
        <v>5535.776771047962</v>
      </c>
      <c r="K157" s="70"/>
      <c r="L157" s="48">
        <f t="shared" si="5"/>
        <v>1107.1553542095924</v>
      </c>
      <c r="M157" s="48">
        <v>0</v>
      </c>
      <c r="N157" s="97">
        <f t="shared" si="6"/>
        <v>4428.6214168383694</v>
      </c>
      <c r="O157" s="98">
        <f>N157/O139</f>
        <v>123.0172615788436</v>
      </c>
    </row>
    <row r="158" spans="1:15" x14ac:dyDescent="0.25">
      <c r="A158" s="99">
        <v>108</v>
      </c>
      <c r="B158" s="78">
        <v>59.75</v>
      </c>
      <c r="C158" s="96">
        <f>[1]Hoja1!N524</f>
        <v>9183.716656129176</v>
      </c>
      <c r="D158" s="48"/>
      <c r="E158" s="48">
        <v>9184</v>
      </c>
      <c r="F158" s="78"/>
      <c r="G158" s="49"/>
      <c r="H158" s="48">
        <f>F158+G158+(J138*B158)</f>
        <v>11945.202674977092</v>
      </c>
      <c r="I158" s="49"/>
      <c r="J158" s="48">
        <f t="shared" si="4"/>
        <v>11945.202674977092</v>
      </c>
      <c r="K158" s="70"/>
      <c r="L158" s="48">
        <f t="shared" si="5"/>
        <v>2389.0405349954181</v>
      </c>
      <c r="M158" s="48">
        <v>0</v>
      </c>
      <c r="N158" s="97">
        <f t="shared" si="6"/>
        <v>9556.162139981674</v>
      </c>
      <c r="O158" s="98">
        <f>N158/O139</f>
        <v>265.44894833282427</v>
      </c>
    </row>
    <row r="159" spans="1:15" x14ac:dyDescent="0.25">
      <c r="A159" s="99">
        <v>109</v>
      </c>
      <c r="B159" s="78">
        <v>64.83</v>
      </c>
      <c r="C159" s="96">
        <f>[1]Hoja1!N525</f>
        <v>9337.5246998636721</v>
      </c>
      <c r="D159" s="48"/>
      <c r="E159" s="48">
        <v>9938</v>
      </c>
      <c r="F159" s="78"/>
      <c r="G159" s="49">
        <f>I139</f>
        <v>300</v>
      </c>
      <c r="H159" s="48">
        <f>F159+G159+(J138*B159)</f>
        <v>13260.794801987697</v>
      </c>
      <c r="I159" s="49"/>
      <c r="J159" s="48">
        <f t="shared" si="4"/>
        <v>13260.794801987697</v>
      </c>
      <c r="K159" s="70"/>
      <c r="L159" s="48">
        <f t="shared" si="5"/>
        <v>2652.158960397539</v>
      </c>
      <c r="M159" s="73"/>
      <c r="N159" s="97">
        <f t="shared" si="6"/>
        <v>10608.635841590158</v>
      </c>
      <c r="O159" s="98">
        <f>N159/O139</f>
        <v>294.68432893305993</v>
      </c>
    </row>
    <row r="160" spans="1:15" x14ac:dyDescent="0.25">
      <c r="A160" s="99">
        <v>110</v>
      </c>
      <c r="B160" s="78">
        <v>27.71</v>
      </c>
      <c r="C160" s="96">
        <f>[1]Hoja1!N526</f>
        <v>1614.0926952525424</v>
      </c>
      <c r="D160" s="48"/>
      <c r="E160" s="48">
        <v>1614</v>
      </c>
      <c r="F160" s="78"/>
      <c r="G160" s="49">
        <f>I139</f>
        <v>300</v>
      </c>
      <c r="H160" s="48">
        <f>F160+G160+(J138*B160)</f>
        <v>5839.7751652487905</v>
      </c>
      <c r="I160" s="49"/>
      <c r="J160" s="48">
        <f t="shared" si="4"/>
        <v>5839.7751652487905</v>
      </c>
      <c r="K160" s="70"/>
      <c r="L160" s="48">
        <f t="shared" si="5"/>
        <v>1167.955033049758</v>
      </c>
      <c r="M160" s="73">
        <v>0</v>
      </c>
      <c r="N160" s="97">
        <f t="shared" si="6"/>
        <v>4671.8201321990327</v>
      </c>
      <c r="O160" s="98">
        <f>N160/O139</f>
        <v>129.77278144997314</v>
      </c>
    </row>
    <row r="161" spans="1:15" x14ac:dyDescent="0.25">
      <c r="A161" s="99">
        <v>111</v>
      </c>
      <c r="B161" s="78">
        <v>25.27</v>
      </c>
      <c r="C161" s="96">
        <f>[1]Hoja1!N527</f>
        <v>48885.46480151335</v>
      </c>
      <c r="D161" s="48"/>
      <c r="E161" s="48">
        <v>0</v>
      </c>
      <c r="F161" s="78"/>
      <c r="G161" s="49"/>
      <c r="H161" s="48">
        <f>F161+G161+(J138*B161)</f>
        <v>5051.971072747634</v>
      </c>
      <c r="I161" s="49">
        <f>H161*10/100</f>
        <v>505.19710727476343</v>
      </c>
      <c r="J161" s="48">
        <f t="shared" si="4"/>
        <v>5557.1681800223978</v>
      </c>
      <c r="K161" s="70"/>
      <c r="L161" s="48">
        <f t="shared" si="5"/>
        <v>1111.4336360044795</v>
      </c>
      <c r="M161" s="48">
        <v>54449</v>
      </c>
      <c r="N161" s="97">
        <f t="shared" si="6"/>
        <v>58894.73454401792</v>
      </c>
      <c r="O161" s="98">
        <f>N161/O139</f>
        <v>1635.9648484449422</v>
      </c>
    </row>
    <row r="162" spans="1:15" x14ac:dyDescent="0.25">
      <c r="A162" s="99">
        <v>112</v>
      </c>
      <c r="B162" s="78">
        <v>39.9</v>
      </c>
      <c r="C162" s="96">
        <f>[1]Hoja1!N528</f>
        <v>5031.7245954737082</v>
      </c>
      <c r="D162" s="48"/>
      <c r="E162" s="48">
        <f>1672+3360</f>
        <v>5032</v>
      </c>
      <c r="F162" s="78"/>
      <c r="G162" s="49">
        <f>I139*3</f>
        <v>900</v>
      </c>
      <c r="H162" s="48">
        <f>F162+G162+(J138*B162)</f>
        <v>8876.796430654158</v>
      </c>
      <c r="I162" s="49"/>
      <c r="J162" s="48">
        <f t="shared" si="4"/>
        <v>8876.796430654158</v>
      </c>
      <c r="K162" s="70"/>
      <c r="L162" s="48">
        <f t="shared" si="5"/>
        <v>1775.3592861308314</v>
      </c>
      <c r="M162" s="48">
        <v>0</v>
      </c>
      <c r="N162" s="97">
        <f t="shared" si="6"/>
        <v>7101.4371445233264</v>
      </c>
      <c r="O162" s="98">
        <f>N162/O139</f>
        <v>197.26214290342574</v>
      </c>
    </row>
    <row r="163" spans="1:15" x14ac:dyDescent="0.25">
      <c r="A163" s="99">
        <v>113</v>
      </c>
      <c r="B163" s="78">
        <v>27.87</v>
      </c>
      <c r="C163" s="96">
        <f>[1]Hoja1!N529</f>
        <v>4271.6850745827633</v>
      </c>
      <c r="D163" s="48"/>
      <c r="E163" s="48">
        <f>4270</f>
        <v>4270</v>
      </c>
      <c r="F163" s="78"/>
      <c r="G163" s="49"/>
      <c r="H163" s="48">
        <f>F163+G163+(J138*B163)</f>
        <v>5571.7623188554244</v>
      </c>
      <c r="I163" s="49"/>
      <c r="J163" s="48">
        <f t="shared" si="4"/>
        <v>5571.7623188554244</v>
      </c>
      <c r="K163" s="70"/>
      <c r="L163" s="48">
        <f t="shared" si="5"/>
        <v>1114.3524637710848</v>
      </c>
      <c r="M163" s="48">
        <v>0</v>
      </c>
      <c r="N163" s="97">
        <f t="shared" si="6"/>
        <v>4457.4098550843391</v>
      </c>
      <c r="O163" s="98">
        <f>N163/O139</f>
        <v>123.81694041900943</v>
      </c>
    </row>
    <row r="164" spans="1:15" x14ac:dyDescent="0.25">
      <c r="A164" s="99">
        <v>114</v>
      </c>
      <c r="B164" s="78">
        <v>27.65</v>
      </c>
      <c r="C164" s="96">
        <f>[1]Hoja1!N530</f>
        <v>8296.8705530037096</v>
      </c>
      <c r="D164" s="73"/>
      <c r="E164" s="48">
        <v>7032</v>
      </c>
      <c r="F164" s="78"/>
      <c r="G164" s="49"/>
      <c r="H164" s="48">
        <f>F164+G164+(J138*B164)</f>
        <v>5527.7799826463033</v>
      </c>
      <c r="I164" s="49"/>
      <c r="J164" s="48">
        <f t="shared" si="4"/>
        <v>5527.7799826463033</v>
      </c>
      <c r="K164" s="70"/>
      <c r="L164" s="48">
        <f t="shared" si="5"/>
        <v>1105.5559965292605</v>
      </c>
      <c r="M164" s="48">
        <v>1265</v>
      </c>
      <c r="N164" s="97">
        <f t="shared" si="6"/>
        <v>5687.2239861170428</v>
      </c>
      <c r="O164" s="98">
        <f>N164/O139</f>
        <v>157.97844405880676</v>
      </c>
    </row>
    <row r="165" spans="1:15" x14ac:dyDescent="0.25">
      <c r="A165" s="99">
        <v>115</v>
      </c>
      <c r="B165" s="78">
        <v>27.71</v>
      </c>
      <c r="C165" s="96">
        <f>[1]Hoja1!N531</f>
        <v>9774.0926952525424</v>
      </c>
      <c r="D165" s="73"/>
      <c r="E165" s="48">
        <v>0</v>
      </c>
      <c r="F165" s="78"/>
      <c r="G165" s="49"/>
      <c r="H165" s="48">
        <f>F165+G165+(J138*B165)</f>
        <v>5539.7751652487905</v>
      </c>
      <c r="I165" s="49"/>
      <c r="J165" s="48">
        <f t="shared" si="4"/>
        <v>5539.7751652487905</v>
      </c>
      <c r="K165" s="70"/>
      <c r="L165" s="48">
        <f t="shared" si="5"/>
        <v>1107.955033049758</v>
      </c>
      <c r="M165" s="48">
        <v>11335</v>
      </c>
      <c r="N165" s="97">
        <f t="shared" si="6"/>
        <v>15766.820132199033</v>
      </c>
      <c r="O165" s="98">
        <f>N165/O139</f>
        <v>437.9672258944176</v>
      </c>
    </row>
    <row r="166" spans="1:15" x14ac:dyDescent="0.25">
      <c r="A166" s="99">
        <v>116</v>
      </c>
      <c r="B166" s="78">
        <v>25.23</v>
      </c>
      <c r="C166" s="96">
        <f>[1]Hoja1!N532</f>
        <v>3877.9108156341272</v>
      </c>
      <c r="D166" s="73"/>
      <c r="E166" s="48">
        <v>3860</v>
      </c>
      <c r="F166" s="78"/>
      <c r="G166" s="49"/>
      <c r="H166" s="48">
        <f>F166+G166+(J138*B166)</f>
        <v>5043.9742843459762</v>
      </c>
      <c r="I166" s="49"/>
      <c r="J166" s="48">
        <f t="shared" si="4"/>
        <v>5043.9742843459762</v>
      </c>
      <c r="K166" s="70"/>
      <c r="L166" s="48">
        <f t="shared" si="5"/>
        <v>1008.7948568691952</v>
      </c>
      <c r="M166" s="48">
        <v>18</v>
      </c>
      <c r="N166" s="97">
        <f t="shared" si="6"/>
        <v>4053.1794274767808</v>
      </c>
      <c r="O166" s="98">
        <f>N166/O139</f>
        <v>112.58831742991057</v>
      </c>
    </row>
    <row r="167" spans="1:15" x14ac:dyDescent="0.25">
      <c r="A167" s="99">
        <v>117</v>
      </c>
      <c r="B167" s="78">
        <v>29.4</v>
      </c>
      <c r="C167" s="96">
        <f>[1]Hoja1!N533</f>
        <v>5309.8497019279948</v>
      </c>
      <c r="D167" s="73"/>
      <c r="E167" s="48">
        <v>0</v>
      </c>
      <c r="F167" s="78"/>
      <c r="G167" s="49"/>
      <c r="H167" s="48">
        <f>F167+G167+(J138*B167)</f>
        <v>5877.6394752188535</v>
      </c>
      <c r="I167" s="49">
        <f>H167*10/100</f>
        <v>587.76394752188537</v>
      </c>
      <c r="J167" s="48">
        <f t="shared" si="4"/>
        <v>6465.4034227407392</v>
      </c>
      <c r="K167" s="70"/>
      <c r="L167" s="48">
        <f t="shared" si="5"/>
        <v>1293.0806845481479</v>
      </c>
      <c r="M167" s="73">
        <v>5498</v>
      </c>
      <c r="N167" s="97">
        <f t="shared" si="6"/>
        <v>10670.322738192592</v>
      </c>
      <c r="O167" s="98">
        <f>N167/O139</f>
        <v>296.39785383868309</v>
      </c>
    </row>
    <row r="168" spans="1:15" x14ac:dyDescent="0.25">
      <c r="A168" s="99">
        <v>118</v>
      </c>
      <c r="B168" s="78">
        <v>208.08</v>
      </c>
      <c r="C168" s="96">
        <f>[1]Hoja1!N534</f>
        <v>37579.389318951617</v>
      </c>
      <c r="D168" s="73"/>
      <c r="E168" s="48">
        <v>0</v>
      </c>
      <c r="F168" s="78"/>
      <c r="G168" s="49"/>
      <c r="H168" s="48">
        <f>F168+G168+(J138*B168)</f>
        <v>41599.293265426502</v>
      </c>
      <c r="I168" s="49">
        <f>H168*10/100</f>
        <v>4159.9293265426504</v>
      </c>
      <c r="J168" s="48">
        <f t="shared" si="4"/>
        <v>45759.222591969155</v>
      </c>
      <c r="K168" s="70"/>
      <c r="L168" s="48">
        <f t="shared" si="5"/>
        <v>9151.8445183938311</v>
      </c>
      <c r="M168" s="73">
        <v>49677</v>
      </c>
      <c r="N168" s="97">
        <f t="shared" si="6"/>
        <v>86284.378073575324</v>
      </c>
      <c r="O168" s="98">
        <f>N168/O139</f>
        <v>2396.7882798215369</v>
      </c>
    </row>
    <row r="169" spans="1:15" x14ac:dyDescent="0.25">
      <c r="A169" s="99">
        <v>119</v>
      </c>
      <c r="B169" s="78">
        <v>31.78</v>
      </c>
      <c r="C169" s="96">
        <f>[1]Hoja1!N535</f>
        <v>15181.668724863343</v>
      </c>
      <c r="D169" s="73"/>
      <c r="E169" s="48">
        <f>434*35</f>
        <v>15190</v>
      </c>
      <c r="F169" s="78"/>
      <c r="G169" s="49">
        <f>I139*1</f>
        <v>300</v>
      </c>
      <c r="H169" s="48">
        <f>F169+G169+(J138*B169)+(J140*B169)</f>
        <v>20605.99962909731</v>
      </c>
      <c r="I169" s="49"/>
      <c r="J169" s="48">
        <f t="shared" si="4"/>
        <v>20605.99962909731</v>
      </c>
      <c r="K169" s="70"/>
      <c r="L169" s="48">
        <f t="shared" si="5"/>
        <v>4121.1999258194619</v>
      </c>
      <c r="M169" s="73">
        <v>-8</v>
      </c>
      <c r="N169" s="97">
        <f t="shared" si="6"/>
        <v>16476.799703277848</v>
      </c>
      <c r="O169" s="98">
        <f>N169/O139</f>
        <v>457.68888064660689</v>
      </c>
    </row>
    <row r="170" spans="1:15" x14ac:dyDescent="0.25">
      <c r="A170" s="99">
        <v>120</v>
      </c>
      <c r="B170" s="78">
        <v>64.86</v>
      </c>
      <c r="C170" s="96">
        <f>[1]Hoja1!N536</f>
        <v>31833.951966476918</v>
      </c>
      <c r="D170" s="73"/>
      <c r="E170" s="48">
        <f>910*35</f>
        <v>31850</v>
      </c>
      <c r="F170" s="78"/>
      <c r="G170" s="49"/>
      <c r="H170" s="48">
        <f>F170+G170+(J138*B170)+(J140*B170)</f>
        <v>41442.641156175312</v>
      </c>
      <c r="I170" s="49"/>
      <c r="J170" s="48">
        <f t="shared" si="4"/>
        <v>41442.641156175312</v>
      </c>
      <c r="K170" s="70"/>
      <c r="L170" s="48">
        <f t="shared" si="5"/>
        <v>8288.5282312350628</v>
      </c>
      <c r="M170" s="73">
        <v>-16</v>
      </c>
      <c r="N170" s="97">
        <f t="shared" si="6"/>
        <v>33138.112924940251</v>
      </c>
      <c r="O170" s="98">
        <f>N170/O139</f>
        <v>920.50313680389581</v>
      </c>
    </row>
    <row r="171" spans="1:15" x14ac:dyDescent="0.25">
      <c r="A171" s="99">
        <v>121</v>
      </c>
      <c r="B171" s="78">
        <v>32.22</v>
      </c>
      <c r="C171" s="96">
        <f>[1]Hoja1!N537</f>
        <v>6883.8151766864994</v>
      </c>
      <c r="D171" s="73"/>
      <c r="E171" s="48">
        <f>11000+11000+11000</f>
        <v>33000</v>
      </c>
      <c r="F171" s="78"/>
      <c r="G171" s="49"/>
      <c r="H171" s="48">
        <f>F171+G171+(J138*B171)+(J140*B171)</f>
        <v>20587.139963798469</v>
      </c>
      <c r="I171" s="49"/>
      <c r="J171" s="48">
        <f t="shared" si="4"/>
        <v>20587.139963798469</v>
      </c>
      <c r="K171" s="70"/>
      <c r="L171" s="48">
        <f t="shared" si="5"/>
        <v>4117.4279927596936</v>
      </c>
      <c r="M171" s="73">
        <v>-6000</v>
      </c>
      <c r="N171" s="97">
        <f t="shared" si="6"/>
        <v>10469.711971038774</v>
      </c>
      <c r="O171" s="98">
        <f>N171/O139</f>
        <v>290.82533252885486</v>
      </c>
    </row>
    <row r="172" spans="1:15" x14ac:dyDescent="0.25">
      <c r="A172" s="99">
        <v>122</v>
      </c>
      <c r="B172" s="78">
        <v>69.510000000000005</v>
      </c>
      <c r="C172" s="96">
        <f>[1]Hoja1!N538</f>
        <v>27200.226968698902</v>
      </c>
      <c r="D172" s="73"/>
      <c r="E172" s="48">
        <f>6000+4100+27200</f>
        <v>37300</v>
      </c>
      <c r="F172" s="78"/>
      <c r="G172" s="49">
        <f>I139*1</f>
        <v>300</v>
      </c>
      <c r="H172" s="48">
        <f>F172+G172+(J138*B172)+(J140*B172)</f>
        <v>44713.783329721649</v>
      </c>
      <c r="I172" s="49"/>
      <c r="J172" s="48">
        <f t="shared" si="4"/>
        <v>44713.783329721649</v>
      </c>
      <c r="K172" s="70"/>
      <c r="L172" s="48">
        <f t="shared" si="5"/>
        <v>8942.756665944331</v>
      </c>
      <c r="M172" s="73">
        <v>-10100</v>
      </c>
      <c r="N172" s="97">
        <f t="shared" si="6"/>
        <v>25671.026663777317</v>
      </c>
      <c r="O172" s="98">
        <f>N172/O139</f>
        <v>713.0840739938144</v>
      </c>
    </row>
    <row r="173" spans="1:15" x14ac:dyDescent="0.25">
      <c r="A173" s="99">
        <v>123</v>
      </c>
      <c r="B173" s="78">
        <v>67.63</v>
      </c>
      <c r="C173" s="96">
        <f>[1]Hoja1!N539</f>
        <v>33222.692129090872</v>
      </c>
      <c r="D173" s="73"/>
      <c r="E173" s="48">
        <f>33223</f>
        <v>33223</v>
      </c>
      <c r="F173" s="78"/>
      <c r="G173" s="49"/>
      <c r="H173" s="48">
        <f>F173+G173+(J138*B173)+(J140*B173)+1550+1550</f>
        <v>46312.547354180337</v>
      </c>
      <c r="I173" s="49"/>
      <c r="J173" s="48">
        <f t="shared" si="4"/>
        <v>46312.547354180337</v>
      </c>
      <c r="K173" s="70"/>
      <c r="L173" s="48">
        <f t="shared" si="5"/>
        <v>9262.5094708360666</v>
      </c>
      <c r="M173" s="73">
        <v>0</v>
      </c>
      <c r="N173" s="97">
        <f t="shared" si="6"/>
        <v>37050.037883344266</v>
      </c>
      <c r="O173" s="98">
        <f>N173/O139</f>
        <v>1029.1677189817851</v>
      </c>
    </row>
    <row r="174" spans="1:15" x14ac:dyDescent="0.25">
      <c r="A174" s="99">
        <v>124</v>
      </c>
      <c r="B174" s="78">
        <v>34.93</v>
      </c>
      <c r="C174" s="96">
        <f>[1]Hoja1!N540</f>
        <v>26441.080823142747</v>
      </c>
      <c r="D174" s="73"/>
      <c r="E174" s="48">
        <f>26441</f>
        <v>26441</v>
      </c>
      <c r="F174" s="78"/>
      <c r="G174" s="49"/>
      <c r="H174" s="48">
        <f>F174+G174+(J138*B174)+(J140*B174)</f>
        <v>22318.70884343515</v>
      </c>
      <c r="I174" s="49"/>
      <c r="J174" s="48">
        <f t="shared" si="4"/>
        <v>22318.70884343515</v>
      </c>
      <c r="K174" s="70"/>
      <c r="L174" s="48">
        <f t="shared" si="5"/>
        <v>4463.7417686870294</v>
      </c>
      <c r="M174" s="73">
        <v>0</v>
      </c>
      <c r="N174" s="97">
        <f t="shared" si="6"/>
        <v>17854.967074748121</v>
      </c>
      <c r="O174" s="98">
        <f>N174/O139</f>
        <v>495.97130763189227</v>
      </c>
    </row>
    <row r="175" spans="1:15" x14ac:dyDescent="0.25">
      <c r="A175" s="99">
        <v>201</v>
      </c>
      <c r="B175" s="78">
        <v>37.299999999999997</v>
      </c>
      <c r="C175" s="96">
        <f>[1]Hoja1!N541</f>
        <v>18306.324211372015</v>
      </c>
      <c r="D175" s="48"/>
      <c r="E175" s="48">
        <v>18320</v>
      </c>
      <c r="F175" s="78"/>
      <c r="G175" s="49"/>
      <c r="H175" s="48">
        <f>F175+G175+(J138*B175)+(J140*B175)</f>
        <v>23833.032918984569</v>
      </c>
      <c r="I175" s="49"/>
      <c r="J175" s="48">
        <f t="shared" si="4"/>
        <v>23833.032918984569</v>
      </c>
      <c r="K175" s="70"/>
      <c r="L175" s="48">
        <f t="shared" si="5"/>
        <v>4766.6065837969136</v>
      </c>
      <c r="M175" s="48">
        <v>-13</v>
      </c>
      <c r="N175" s="97">
        <f t="shared" si="6"/>
        <v>19053.426335187654</v>
      </c>
      <c r="O175" s="98">
        <f>N175/O139</f>
        <v>529.26184264410153</v>
      </c>
    </row>
    <row r="176" spans="1:15" x14ac:dyDescent="0.25">
      <c r="A176" s="99">
        <v>202</v>
      </c>
      <c r="B176" s="78">
        <v>63.08</v>
      </c>
      <c r="C176" s="96">
        <f>[1]Hoja1!N542</f>
        <v>30987.541320465061</v>
      </c>
      <c r="D176" s="73"/>
      <c r="E176" s="48">
        <v>31000</v>
      </c>
      <c r="F176" s="78"/>
      <c r="G176" s="49"/>
      <c r="H176" s="49">
        <f>F176+G176+(J138*B176)+(J140*B176)</f>
        <v>40305.300711247903</v>
      </c>
      <c r="I176" s="49"/>
      <c r="J176" s="48">
        <f t="shared" si="4"/>
        <v>40305.300711247903</v>
      </c>
      <c r="K176" s="70"/>
      <c r="L176" s="48">
        <f t="shared" si="5"/>
        <v>8061.0601422495802</v>
      </c>
      <c r="M176" s="73">
        <v>-12</v>
      </c>
      <c r="N176" s="97">
        <f t="shared" si="6"/>
        <v>32232.240568998321</v>
      </c>
      <c r="O176" s="98">
        <f>N176/O139</f>
        <v>895.34001580550887</v>
      </c>
    </row>
    <row r="177" spans="1:15" x14ac:dyDescent="0.25">
      <c r="A177" s="99">
        <v>203</v>
      </c>
      <c r="B177" s="78">
        <v>60.52</v>
      </c>
      <c r="C177" s="96">
        <f>[1]Hoja1!N543</f>
        <v>38400.961964403068</v>
      </c>
      <c r="D177" s="48"/>
      <c r="E177" s="48">
        <v>38401</v>
      </c>
      <c r="F177" s="78"/>
      <c r="G177" s="49"/>
      <c r="H177" s="48">
        <f>F177+G177+(J138*B177)+(J140*B177)</f>
        <v>38669.575127532073</v>
      </c>
      <c r="I177" s="49"/>
      <c r="J177" s="48">
        <f t="shared" si="4"/>
        <v>38669.575127532073</v>
      </c>
      <c r="K177" s="70"/>
      <c r="L177" s="48">
        <f t="shared" si="5"/>
        <v>7733.9150255064142</v>
      </c>
      <c r="M177" s="48">
        <v>0</v>
      </c>
      <c r="N177" s="97">
        <f t="shared" si="6"/>
        <v>30935.660102025657</v>
      </c>
      <c r="O177" s="98">
        <f>N177/O139</f>
        <v>859.32389172293495</v>
      </c>
    </row>
    <row r="178" spans="1:15" x14ac:dyDescent="0.25">
      <c r="A178" s="99">
        <v>204</v>
      </c>
      <c r="B178" s="78">
        <v>35.799999999999997</v>
      </c>
      <c r="C178" s="96">
        <f>[1]Hoja1!N544</f>
        <v>17685.461307429439</v>
      </c>
      <c r="D178" s="48"/>
      <c r="E178" s="48">
        <v>17700</v>
      </c>
      <c r="F178" s="78"/>
      <c r="G178" s="49">
        <f>I139*1</f>
        <v>300</v>
      </c>
      <c r="H178" s="48">
        <f>F178+G178+(J138*B178)+(J140*B178)</f>
        <v>23174.599959776075</v>
      </c>
      <c r="I178" s="49"/>
      <c r="J178" s="48">
        <f t="shared" si="4"/>
        <v>23174.599959776075</v>
      </c>
      <c r="K178" s="70"/>
      <c r="L178" s="48">
        <f t="shared" si="5"/>
        <v>4634.9199919552148</v>
      </c>
      <c r="M178" s="48">
        <v>28408</v>
      </c>
      <c r="N178" s="97">
        <f t="shared" si="6"/>
        <v>46947.679967820863</v>
      </c>
      <c r="O178" s="98">
        <f>N178/O139</f>
        <v>1304.1022213283572</v>
      </c>
    </row>
    <row r="179" spans="1:15" x14ac:dyDescent="0.25">
      <c r="A179" s="99">
        <v>205</v>
      </c>
      <c r="B179" s="78">
        <v>69.540000000000006</v>
      </c>
      <c r="C179" s="96">
        <f>[1]Hoja1!N545</f>
        <v>37843.060649455525</v>
      </c>
      <c r="D179" s="73"/>
      <c r="E179" s="48">
        <v>0</v>
      </c>
      <c r="F179" s="78"/>
      <c r="G179" s="49">
        <f>I139*1</f>
        <v>300</v>
      </c>
      <c r="H179" s="48">
        <f>F179+G179+(J138*B179)+(J140*B179)</f>
        <v>44732.951988905828</v>
      </c>
      <c r="I179" s="49">
        <f>H179*10/100</f>
        <v>4473.2951988905834</v>
      </c>
      <c r="J179" s="48">
        <f t="shared" si="4"/>
        <v>49206.247187796413</v>
      </c>
      <c r="K179" s="70"/>
      <c r="L179" s="48">
        <f t="shared" si="5"/>
        <v>9841.2494375592814</v>
      </c>
      <c r="M179" s="48">
        <v>51561</v>
      </c>
      <c r="N179" s="97">
        <f t="shared" si="6"/>
        <v>90925.997750237133</v>
      </c>
      <c r="O179" s="98">
        <v>0</v>
      </c>
    </row>
    <row r="180" spans="1:15" x14ac:dyDescent="0.25">
      <c r="A180" s="99">
        <v>206</v>
      </c>
      <c r="B180" s="78">
        <v>86.46</v>
      </c>
      <c r="C180" s="96">
        <f>[1]Hoja1!N546</f>
        <v>42712.777783249985</v>
      </c>
      <c r="D180" s="73"/>
      <c r="E180" s="48">
        <v>42713</v>
      </c>
      <c r="F180" s="78"/>
      <c r="G180" s="49">
        <f>I139*1</f>
        <v>300</v>
      </c>
      <c r="H180" s="48">
        <f>F180+G180+(J138*B180)+(J140*B180)</f>
        <v>55544.075768777635</v>
      </c>
      <c r="I180" s="49"/>
      <c r="J180" s="48">
        <f t="shared" si="4"/>
        <v>55544.075768777635</v>
      </c>
      <c r="K180" s="70"/>
      <c r="L180" s="48">
        <f t="shared" si="5"/>
        <v>11108.815153755528</v>
      </c>
      <c r="M180" s="48">
        <v>12</v>
      </c>
      <c r="N180" s="97">
        <f t="shared" si="6"/>
        <v>44447.260615022111</v>
      </c>
      <c r="O180" s="98">
        <f>N180/O139</f>
        <v>1234.6461281950587</v>
      </c>
    </row>
    <row r="181" spans="1:15" x14ac:dyDescent="0.25">
      <c r="A181" s="99">
        <v>207</v>
      </c>
      <c r="B181" s="78">
        <v>59.29</v>
      </c>
      <c r="C181" s="96">
        <f>[1]Hoja1!N547</f>
        <v>29125.734383170155</v>
      </c>
      <c r="D181" s="73"/>
      <c r="E181" s="48">
        <f>830*35</f>
        <v>29050</v>
      </c>
      <c r="F181" s="78"/>
      <c r="G181" s="49"/>
      <c r="H181" s="48">
        <f>F181+G181+(J138*B181)+(J140*B181)</f>
        <v>37883.660100981106</v>
      </c>
      <c r="I181" s="49"/>
      <c r="J181" s="48">
        <f t="shared" si="4"/>
        <v>37883.660100981106</v>
      </c>
      <c r="K181" s="70"/>
      <c r="L181" s="48">
        <f t="shared" si="5"/>
        <v>7576.7320201962211</v>
      </c>
      <c r="M181" s="48">
        <v>76</v>
      </c>
      <c r="N181" s="97">
        <f t="shared" si="6"/>
        <v>30382.928080784885</v>
      </c>
      <c r="O181" s="98">
        <f>N181/O139</f>
        <v>843.9702244662468</v>
      </c>
    </row>
    <row r="182" spans="1:15" x14ac:dyDescent="0.25">
      <c r="A182" s="99">
        <v>208</v>
      </c>
      <c r="B182" s="78">
        <v>64.040000000000006</v>
      </c>
      <c r="C182" s="96">
        <f>[1]Hoja1!N548</f>
        <v>44011.668229698684</v>
      </c>
      <c r="D182" s="48"/>
      <c r="E182" s="48">
        <v>44012</v>
      </c>
      <c r="F182" s="72">
        <f>O138*B182*26</f>
        <v>14374.76267882735</v>
      </c>
      <c r="G182" s="49"/>
      <c r="H182" s="48">
        <f>F182+G182+(J138*B182)+(J140*B182)</f>
        <v>55293.460483968694</v>
      </c>
      <c r="I182" s="49"/>
      <c r="J182" s="48">
        <f t="shared" si="4"/>
        <v>55293.460483968694</v>
      </c>
      <c r="K182" s="70"/>
      <c r="L182" s="48">
        <f t="shared" si="5"/>
        <v>11058.69209679374</v>
      </c>
      <c r="M182" s="48">
        <v>0</v>
      </c>
      <c r="N182" s="97">
        <f t="shared" si="6"/>
        <v>44234.768387174954</v>
      </c>
      <c r="O182" s="98">
        <f>N182/O139</f>
        <v>1228.7435663104154</v>
      </c>
    </row>
    <row r="183" spans="1:15" x14ac:dyDescent="0.25">
      <c r="A183" s="99">
        <v>209</v>
      </c>
      <c r="B183" s="78">
        <v>38.93</v>
      </c>
      <c r="C183" s="96">
        <f>[1]Hoja1!N549</f>
        <v>19028.048566989615</v>
      </c>
      <c r="D183" s="48"/>
      <c r="E183" s="48">
        <v>19100</v>
      </c>
      <c r="F183" s="78"/>
      <c r="G183" s="49"/>
      <c r="H183" s="48">
        <f>F183+G183+(J138*B183)+(J140*B183)</f>
        <v>24874.530067991138</v>
      </c>
      <c r="I183" s="49"/>
      <c r="J183" s="48">
        <f t="shared" si="4"/>
        <v>24874.530067991138</v>
      </c>
      <c r="K183" s="70"/>
      <c r="L183" s="48">
        <f t="shared" si="5"/>
        <v>4974.9060135982281</v>
      </c>
      <c r="M183" s="48">
        <v>-72</v>
      </c>
      <c r="N183" s="97">
        <f t="shared" si="6"/>
        <v>19827.624054392909</v>
      </c>
      <c r="O183" s="98">
        <f>N183/O139</f>
        <v>550.76733484424744</v>
      </c>
    </row>
    <row r="184" spans="1:15" x14ac:dyDescent="0.25">
      <c r="A184" s="99">
        <v>210</v>
      </c>
      <c r="B184" s="78">
        <v>57.83</v>
      </c>
      <c r="C184" s="96">
        <f>[1]Hoja1!N550</f>
        <v>34010.174801658097</v>
      </c>
      <c r="D184" s="48"/>
      <c r="E184" s="48">
        <f>980*35</f>
        <v>34300</v>
      </c>
      <c r="F184" s="72">
        <f>O138*B184*13</f>
        <v>6490.4163469439845</v>
      </c>
      <c r="G184" s="49"/>
      <c r="H184" s="48">
        <f>F184+G184+(J138*B184)+(J140*B184)</f>
        <v>43441.201700962156</v>
      </c>
      <c r="I184" s="49"/>
      <c r="J184" s="48">
        <f t="shared" si="4"/>
        <v>43441.201700962156</v>
      </c>
      <c r="K184" s="70"/>
      <c r="L184" s="48">
        <f t="shared" si="5"/>
        <v>8688.2403401924312</v>
      </c>
      <c r="M184" s="48">
        <v>-290</v>
      </c>
      <c r="N184" s="97">
        <f t="shared" si="6"/>
        <v>34462.961360769725</v>
      </c>
      <c r="O184" s="98">
        <f>N184/O139</f>
        <v>957.3044822436035</v>
      </c>
    </row>
    <row r="185" spans="1:15" x14ac:dyDescent="0.25">
      <c r="A185" s="99">
        <v>211</v>
      </c>
      <c r="B185" s="78">
        <v>66.150000000000006</v>
      </c>
      <c r="C185" s="96">
        <f>[1]Hoja1!N551</f>
        <v>32495.654063867532</v>
      </c>
      <c r="D185" s="48"/>
      <c r="E185" s="48">
        <v>32500</v>
      </c>
      <c r="F185" s="100"/>
      <c r="G185" s="49"/>
      <c r="H185" s="48">
        <f>F185+G185+(J138*B185)+(J140*B185)</f>
        <v>42266.89350109463</v>
      </c>
      <c r="I185" s="49"/>
      <c r="J185" s="48">
        <f t="shared" si="4"/>
        <v>42266.89350109463</v>
      </c>
      <c r="K185" s="70"/>
      <c r="L185" s="48">
        <f t="shared" si="5"/>
        <v>8453.3787002189256</v>
      </c>
      <c r="M185" s="48">
        <v>-4</v>
      </c>
      <c r="N185" s="97">
        <f t="shared" si="6"/>
        <v>33809.514800875702</v>
      </c>
      <c r="O185" s="98">
        <f>N185/O139</f>
        <v>939.15318891321397</v>
      </c>
    </row>
    <row r="186" spans="1:15" x14ac:dyDescent="0.25">
      <c r="A186" s="99">
        <v>212</v>
      </c>
      <c r="B186" s="78">
        <v>37.369999999999997</v>
      </c>
      <c r="C186" s="96">
        <f>[1]Hoja1!N552</f>
        <v>18357.711146889334</v>
      </c>
      <c r="D186" s="48"/>
      <c r="E186" s="48">
        <v>18360</v>
      </c>
      <c r="F186" s="100"/>
      <c r="G186" s="49"/>
      <c r="H186" s="48">
        <f>F186+G186+(J138*B186)+(J140*B186)</f>
        <v>23877.759790414297</v>
      </c>
      <c r="I186" s="49"/>
      <c r="J186" s="48">
        <f t="shared" si="4"/>
        <v>23877.759790414297</v>
      </c>
      <c r="K186" s="70"/>
      <c r="L186" s="48">
        <f t="shared" si="5"/>
        <v>4775.5519580828595</v>
      </c>
      <c r="M186" s="48">
        <v>-2</v>
      </c>
      <c r="N186" s="97">
        <f t="shared" si="6"/>
        <v>19100.207832331438</v>
      </c>
      <c r="O186" s="98">
        <f>N186/O139</f>
        <v>530.56132867587326</v>
      </c>
    </row>
    <row r="187" spans="1:15" x14ac:dyDescent="0.25">
      <c r="A187" s="99">
        <v>213</v>
      </c>
      <c r="B187" s="78">
        <v>57.82</v>
      </c>
      <c r="C187" s="96">
        <f>[1]Hoja1!N553</f>
        <v>28385.608737306437</v>
      </c>
      <c r="D187" s="48"/>
      <c r="E187" s="48">
        <v>28390</v>
      </c>
      <c r="F187" s="100"/>
      <c r="G187" s="49"/>
      <c r="H187" s="48">
        <f>F187+G187+(J138*B187)+(J140*B187)</f>
        <v>36944.39580095678</v>
      </c>
      <c r="I187" s="49"/>
      <c r="J187" s="48">
        <f t="shared" si="4"/>
        <v>36944.39580095678</v>
      </c>
      <c r="K187" s="70"/>
      <c r="L187" s="48">
        <f t="shared" si="5"/>
        <v>7388.8791601913563</v>
      </c>
      <c r="M187" s="48">
        <v>-4</v>
      </c>
      <c r="N187" s="97">
        <f t="shared" si="6"/>
        <v>29551.516640765425</v>
      </c>
      <c r="O187" s="98">
        <f>N187/O139</f>
        <v>820.87546224348398</v>
      </c>
    </row>
    <row r="188" spans="1:15" x14ac:dyDescent="0.25">
      <c r="A188" s="99">
        <v>214</v>
      </c>
      <c r="B188" s="78">
        <v>34.340000000000003</v>
      </c>
      <c r="C188" s="96">
        <f>[1]Hoja1!N554</f>
        <v>16869.248080925339</v>
      </c>
      <c r="D188" s="48"/>
      <c r="E188" s="48">
        <v>16869</v>
      </c>
      <c r="F188" s="78"/>
      <c r="G188" s="49"/>
      <c r="H188" s="48">
        <f>F188+G188+(J138*B188)+(J140*B188)</f>
        <v>21941.725212813144</v>
      </c>
      <c r="I188" s="49"/>
      <c r="J188" s="48">
        <f t="shared" si="4"/>
        <v>21941.725212813144</v>
      </c>
      <c r="K188" s="70"/>
      <c r="L188" s="48">
        <f t="shared" si="5"/>
        <v>4388.3450425626288</v>
      </c>
      <c r="M188" s="48">
        <v>0</v>
      </c>
      <c r="N188" s="97">
        <f t="shared" si="6"/>
        <v>17553.380170250515</v>
      </c>
      <c r="O188" s="98">
        <f>N188/O139</f>
        <v>487.59389361806984</v>
      </c>
    </row>
    <row r="189" spans="1:15" x14ac:dyDescent="0.25">
      <c r="A189" s="99">
        <v>215</v>
      </c>
      <c r="B189" s="78">
        <v>35.270000000000003</v>
      </c>
      <c r="C189" s="96">
        <f>[1]Hoja1!N555</f>
        <v>17115.103081369736</v>
      </c>
      <c r="D189" s="48"/>
      <c r="E189" s="48">
        <v>17200</v>
      </c>
      <c r="F189" s="78"/>
      <c r="G189" s="49"/>
      <c r="H189" s="48">
        <f>F189+G189+(J138*B189)+(J140*B189)</f>
        <v>22535.953647522412</v>
      </c>
      <c r="I189" s="49"/>
      <c r="J189" s="48">
        <f t="shared" si="4"/>
        <v>22535.953647522412</v>
      </c>
      <c r="K189" s="70"/>
      <c r="L189" s="48">
        <f t="shared" si="5"/>
        <v>4507.190729504483</v>
      </c>
      <c r="M189" s="48">
        <v>-85</v>
      </c>
      <c r="N189" s="97">
        <f t="shared" si="6"/>
        <v>17943.762918017928</v>
      </c>
      <c r="O189" s="98">
        <f>N189/O139</f>
        <v>498.43785883383134</v>
      </c>
    </row>
    <row r="190" spans="1:15" x14ac:dyDescent="0.25">
      <c r="A190" s="99">
        <v>216</v>
      </c>
      <c r="B190" s="78">
        <v>63.9</v>
      </c>
      <c r="C190" s="96">
        <f>[1]Hoja1!N556</f>
        <v>31391.35970795367</v>
      </c>
      <c r="D190" s="48"/>
      <c r="E190" s="48">
        <v>31391</v>
      </c>
      <c r="F190" s="100"/>
      <c r="G190" s="49"/>
      <c r="H190" s="48">
        <f>F190+G190+(J138*B190)+(J140*B190)</f>
        <v>40829.244062281883</v>
      </c>
      <c r="I190" s="49"/>
      <c r="J190" s="48">
        <f t="shared" si="4"/>
        <v>40829.244062281883</v>
      </c>
      <c r="K190" s="70"/>
      <c r="L190" s="48">
        <f t="shared" si="5"/>
        <v>8165.8488124563764</v>
      </c>
      <c r="M190" s="48">
        <v>0</v>
      </c>
      <c r="N190" s="97">
        <f t="shared" si="6"/>
        <v>32663.395249825506</v>
      </c>
      <c r="O190" s="98">
        <f>N190/O139</f>
        <v>907.31653471737513</v>
      </c>
    </row>
    <row r="191" spans="1:15" x14ac:dyDescent="0.25">
      <c r="A191" s="99">
        <v>217</v>
      </c>
      <c r="B191" s="78">
        <v>61.27</v>
      </c>
      <c r="C191" s="96">
        <f>[1]Hoja1!N557</f>
        <v>30338.393416374358</v>
      </c>
      <c r="D191" s="48"/>
      <c r="E191" s="48">
        <v>30338</v>
      </c>
      <c r="F191" s="100"/>
      <c r="G191" s="49">
        <f>I139*1</f>
        <v>300</v>
      </c>
      <c r="H191" s="48">
        <f>F191+G191+(J138*B191)+(J140*B191)</f>
        <v>39448.791607136322</v>
      </c>
      <c r="I191" s="49"/>
      <c r="J191" s="48">
        <f t="shared" si="4"/>
        <v>39448.791607136322</v>
      </c>
      <c r="K191" s="70"/>
      <c r="L191" s="48">
        <f t="shared" si="5"/>
        <v>7889.7583214272636</v>
      </c>
      <c r="M191" s="48">
        <v>0</v>
      </c>
      <c r="N191" s="97">
        <f t="shared" si="6"/>
        <v>31559.033285709058</v>
      </c>
      <c r="O191" s="98">
        <f>N191/O139</f>
        <v>876.63981349191829</v>
      </c>
    </row>
    <row r="192" spans="1:15" x14ac:dyDescent="0.25">
      <c r="A192" s="99">
        <v>218</v>
      </c>
      <c r="B192" s="78">
        <v>38.130000000000003</v>
      </c>
      <c r="C192" s="96">
        <f>[1]Hoja1!N558</f>
        <v>22321.160520042267</v>
      </c>
      <c r="D192" s="48"/>
      <c r="E192" s="48">
        <v>0</v>
      </c>
      <c r="F192" s="100"/>
      <c r="G192" s="49"/>
      <c r="H192" s="48">
        <f>F192+G192+(J138*B192)+(J140*B192)</f>
        <v>24363.365823079941</v>
      </c>
      <c r="I192" s="49">
        <f>H192*10/100</f>
        <v>2436.3365823079944</v>
      </c>
      <c r="J192" s="48">
        <f t="shared" si="4"/>
        <v>26799.702405387936</v>
      </c>
      <c r="K192" s="80"/>
      <c r="L192" s="48">
        <f t="shared" si="5"/>
        <v>5359.9404810775877</v>
      </c>
      <c r="M192" s="48">
        <v>29945</v>
      </c>
      <c r="N192" s="97">
        <f t="shared" si="6"/>
        <v>51384.761924310347</v>
      </c>
      <c r="O192" s="98">
        <f>N192/O139</f>
        <v>1427.3544978975096</v>
      </c>
    </row>
    <row r="193" spans="1:15" x14ac:dyDescent="0.25">
      <c r="A193" s="99">
        <v>301</v>
      </c>
      <c r="B193" s="78">
        <v>38.57</v>
      </c>
      <c r="C193" s="96">
        <f>[1]Hoja1!N559</f>
        <v>18948.201470043397</v>
      </c>
      <c r="D193" s="48"/>
      <c r="E193" s="48">
        <v>18948</v>
      </c>
      <c r="F193" s="100"/>
      <c r="G193" s="49"/>
      <c r="H193" s="48">
        <f>F193+G193+(J138*B193)+(J140*B193)</f>
        <v>24644.506157781099</v>
      </c>
      <c r="I193" s="49"/>
      <c r="J193" s="48">
        <f t="shared" si="4"/>
        <v>24644.506157781099</v>
      </c>
      <c r="K193" s="70"/>
      <c r="L193" s="48">
        <f t="shared" si="5"/>
        <v>4928.9012315562195</v>
      </c>
      <c r="M193" s="48">
        <v>0</v>
      </c>
      <c r="N193" s="97">
        <f t="shared" si="6"/>
        <v>19715.604926224878</v>
      </c>
      <c r="O193" s="98">
        <f>N193/O139</f>
        <v>547.65569239513547</v>
      </c>
    </row>
    <row r="194" spans="1:15" x14ac:dyDescent="0.25">
      <c r="A194" s="99">
        <v>302</v>
      </c>
      <c r="B194" s="78">
        <v>63.41</v>
      </c>
      <c r="C194" s="96">
        <f>[1]Hoja1!N560</f>
        <v>612958.6162752657</v>
      </c>
      <c r="D194" s="73"/>
      <c r="E194" s="48">
        <v>0</v>
      </c>
      <c r="F194" s="100"/>
      <c r="G194" s="49"/>
      <c r="H194" s="48">
        <f>F194+G194+(J138*B194)+(J140*B194)</f>
        <v>40516.15596227377</v>
      </c>
      <c r="I194" s="49">
        <f>H194*10/100</f>
        <v>4051.615596227377</v>
      </c>
      <c r="J194" s="48">
        <f t="shared" si="4"/>
        <v>44567.771558501147</v>
      </c>
      <c r="K194" s="70"/>
      <c r="L194" s="48">
        <f t="shared" si="5"/>
        <v>8913.5543117002289</v>
      </c>
      <c r="M194" s="48">
        <v>673928</v>
      </c>
      <c r="N194" s="97">
        <f t="shared" si="6"/>
        <v>709582.21724680089</v>
      </c>
      <c r="O194" s="98">
        <f>N194/O139</f>
        <v>19710.617145744469</v>
      </c>
    </row>
    <row r="195" spans="1:15" x14ac:dyDescent="0.25">
      <c r="A195" s="99">
        <v>303</v>
      </c>
      <c r="B195" s="78">
        <v>61.66</v>
      </c>
      <c r="C195" s="96">
        <f>[1]Hoja1!N561</f>
        <v>30238.977771399426</v>
      </c>
      <c r="D195" s="48"/>
      <c r="E195" s="48">
        <f>865*35</f>
        <v>30275</v>
      </c>
      <c r="F195" s="100"/>
      <c r="G195" s="49"/>
      <c r="H195" s="48">
        <f>F195+G195+(J138*B195)+(J140*B195)</f>
        <v>39397.984176530525</v>
      </c>
      <c r="I195" s="49"/>
      <c r="J195" s="48">
        <f t="shared" si="4"/>
        <v>39397.984176530525</v>
      </c>
      <c r="K195" s="70"/>
      <c r="L195" s="48">
        <f t="shared" si="5"/>
        <v>7879.5968353061053</v>
      </c>
      <c r="M195" s="73">
        <v>-36</v>
      </c>
      <c r="N195" s="97">
        <f t="shared" si="6"/>
        <v>31482.387341224421</v>
      </c>
      <c r="O195" s="98">
        <f>N195/O139</f>
        <v>874.51075947845618</v>
      </c>
    </row>
    <row r="196" spans="1:15" x14ac:dyDescent="0.25">
      <c r="A196" s="99">
        <v>304</v>
      </c>
      <c r="B196" s="78">
        <v>36.369999999999997</v>
      </c>
      <c r="C196" s="96">
        <f>[1]Hoja1!N562</f>
        <v>18506.469210927618</v>
      </c>
      <c r="D196" s="48"/>
      <c r="E196" s="48">
        <v>18500</v>
      </c>
      <c r="F196" s="100"/>
      <c r="G196" s="49"/>
      <c r="H196" s="48">
        <f>F196+G196+(J138*B196)+(J140*B196)</f>
        <v>23238.804484275304</v>
      </c>
      <c r="I196" s="49"/>
      <c r="J196" s="48">
        <f t="shared" si="4"/>
        <v>23238.804484275304</v>
      </c>
      <c r="K196" s="70"/>
      <c r="L196" s="48">
        <f t="shared" si="5"/>
        <v>4647.7608968550603</v>
      </c>
      <c r="M196" s="48">
        <v>6</v>
      </c>
      <c r="N196" s="97">
        <f t="shared" si="6"/>
        <v>18597.043587420245</v>
      </c>
      <c r="O196" s="98">
        <f>N196/O139</f>
        <v>516.58454409500678</v>
      </c>
    </row>
    <row r="197" spans="1:15" x14ac:dyDescent="0.25">
      <c r="A197" s="99">
        <v>305</v>
      </c>
      <c r="B197" s="78">
        <v>69.59</v>
      </c>
      <c r="C197" s="96">
        <f>[1]Hoja1!N563</f>
        <v>34425.526323575839</v>
      </c>
      <c r="D197" s="48"/>
      <c r="E197" s="48">
        <v>34426</v>
      </c>
      <c r="F197" s="100"/>
      <c r="G197" s="49">
        <f>I139*1</f>
        <v>300</v>
      </c>
      <c r="H197" s="48">
        <f>F197+G197+(J138*B197)+(J140*B197)</f>
        <v>44764.899754212769</v>
      </c>
      <c r="I197" s="49"/>
      <c r="J197" s="48">
        <f t="shared" si="4"/>
        <v>44764.899754212769</v>
      </c>
      <c r="K197" s="70"/>
      <c r="L197" s="48">
        <f t="shared" si="5"/>
        <v>8952.9799508425531</v>
      </c>
      <c r="M197" s="48">
        <v>0</v>
      </c>
      <c r="N197" s="97">
        <f t="shared" si="6"/>
        <v>35811.919803370212</v>
      </c>
      <c r="O197" s="98">
        <f>N197/O139</f>
        <v>994.77555009361697</v>
      </c>
    </row>
    <row r="198" spans="1:15" x14ac:dyDescent="0.25">
      <c r="A198" s="99">
        <v>306</v>
      </c>
      <c r="B198" s="78">
        <v>91.23</v>
      </c>
      <c r="C198" s="96">
        <f>[1]Hoja1!N564</f>
        <v>46846.001817787372</v>
      </c>
      <c r="D198" s="73"/>
      <c r="E198" s="48">
        <v>46846</v>
      </c>
      <c r="F198" s="100"/>
      <c r="G198" s="49">
        <f>I139*2</f>
        <v>600</v>
      </c>
      <c r="H198" s="48">
        <f>F198+G198+(J138*B198)+(J140*B198)</f>
        <v>58891.892579060659</v>
      </c>
      <c r="I198" s="49"/>
      <c r="J198" s="48">
        <f t="shared" si="4"/>
        <v>58891.892579060659</v>
      </c>
      <c r="K198" s="48">
        <v>-1551</v>
      </c>
      <c r="L198" s="48">
        <f t="shared" si="5"/>
        <v>11778.37851581213</v>
      </c>
      <c r="M198" s="48">
        <v>0</v>
      </c>
      <c r="N198" s="97">
        <f>J198+K198-L198+M198</f>
        <v>45562.514063248527</v>
      </c>
      <c r="O198" s="98">
        <f>N198/O139</f>
        <v>1265.6253906457923</v>
      </c>
    </row>
    <row r="199" spans="1:15" x14ac:dyDescent="0.25">
      <c r="A199" s="99">
        <v>307</v>
      </c>
      <c r="B199" s="78">
        <v>59.58</v>
      </c>
      <c r="C199" s="96">
        <f>[1]Hoja1!N565</f>
        <v>29267.194544599053</v>
      </c>
      <c r="D199" s="73"/>
      <c r="E199" s="48">
        <v>29267</v>
      </c>
      <c r="F199" s="100"/>
      <c r="G199" s="49"/>
      <c r="H199" s="48">
        <f>F199+G199+(J138*B199)+(J140*B199)</f>
        <v>38068.957139761413</v>
      </c>
      <c r="I199" s="49"/>
      <c r="J199" s="48">
        <f t="shared" si="4"/>
        <v>38068.957139761413</v>
      </c>
      <c r="K199" s="70"/>
      <c r="L199" s="48">
        <f t="shared" si="5"/>
        <v>7613.7914279522829</v>
      </c>
      <c r="M199" s="78">
        <v>1081</v>
      </c>
      <c r="N199" s="97">
        <f t="shared" si="6"/>
        <v>31536.165711809132</v>
      </c>
      <c r="O199" s="101">
        <f>N199/O139</f>
        <v>876.00460310580922</v>
      </c>
    </row>
    <row r="200" spans="1:15" x14ac:dyDescent="0.25">
      <c r="A200" s="99">
        <v>308</v>
      </c>
      <c r="B200" s="78">
        <v>65.430000000000007</v>
      </c>
      <c r="C200" s="96">
        <f>[1]Hoja1!N566</f>
        <v>32140.9598699751</v>
      </c>
      <c r="D200" s="73"/>
      <c r="E200" s="48">
        <f>918*35</f>
        <v>32130</v>
      </c>
      <c r="F200" s="100"/>
      <c r="G200" s="49"/>
      <c r="H200" s="48">
        <f>F200+G200+(J138*B200)+(J140*B200)</f>
        <v>41806.845680674553</v>
      </c>
      <c r="I200" s="49"/>
      <c r="J200" s="48">
        <f t="shared" si="4"/>
        <v>41806.845680674553</v>
      </c>
      <c r="K200" s="70"/>
      <c r="L200" s="48">
        <f t="shared" si="5"/>
        <v>8361.3691361349101</v>
      </c>
      <c r="M200" s="49">
        <v>11</v>
      </c>
      <c r="N200" s="97">
        <f t="shared" si="6"/>
        <v>33456.476544539641</v>
      </c>
      <c r="O200" s="98">
        <f>N200/O139</f>
        <v>929.34657068165666</v>
      </c>
    </row>
    <row r="201" spans="1:15" x14ac:dyDescent="0.25">
      <c r="A201" s="99">
        <v>309</v>
      </c>
      <c r="B201" s="78">
        <v>38.11</v>
      </c>
      <c r="C201" s="96">
        <f>[1]Hoja1!N567</f>
        <v>18961.230179501006</v>
      </c>
      <c r="D201" s="73"/>
      <c r="E201" s="48">
        <v>18961</v>
      </c>
      <c r="F201" s="100"/>
      <c r="G201" s="49">
        <f>I139*1</f>
        <v>300</v>
      </c>
      <c r="H201" s="48">
        <f>F201+G201+(J138*B201)+(J140*B201)</f>
        <v>24650.586716957157</v>
      </c>
      <c r="I201" s="49"/>
      <c r="J201" s="48">
        <f t="shared" si="4"/>
        <v>24650.586716957157</v>
      </c>
      <c r="K201" s="70"/>
      <c r="L201" s="48">
        <f t="shared" si="5"/>
        <v>4930.1173433914319</v>
      </c>
      <c r="M201" s="48">
        <v>0</v>
      </c>
      <c r="N201" s="97">
        <f t="shared" si="6"/>
        <v>19720.469373565727</v>
      </c>
      <c r="O201" s="98">
        <f>N201/O139</f>
        <v>547.79081593238129</v>
      </c>
    </row>
    <row r="202" spans="1:15" x14ac:dyDescent="0.25">
      <c r="A202" s="99">
        <v>310</v>
      </c>
      <c r="B202" s="78">
        <v>57.4</v>
      </c>
      <c r="C202" s="96">
        <f>[1]Hoja1!N568</f>
        <v>27138.28712420251</v>
      </c>
      <c r="D202" s="48"/>
      <c r="E202" s="48">
        <f>775*35</f>
        <v>27125</v>
      </c>
      <c r="F202" s="100"/>
      <c r="G202" s="49"/>
      <c r="H202" s="48">
        <f>F202+G202+(J138*B202)+(J140*B202)</f>
        <v>36676.034572378398</v>
      </c>
      <c r="I202" s="49"/>
      <c r="J202" s="48">
        <f t="shared" si="4"/>
        <v>36676.034572378398</v>
      </c>
      <c r="K202" s="70"/>
      <c r="L202" s="48">
        <f t="shared" si="5"/>
        <v>7335.2069144756788</v>
      </c>
      <c r="M202" s="48">
        <v>13</v>
      </c>
      <c r="N202" s="97">
        <f t="shared" si="6"/>
        <v>29353.827657902719</v>
      </c>
      <c r="O202" s="98">
        <f>N202/O139</f>
        <v>815.38410160840886</v>
      </c>
    </row>
    <row r="203" spans="1:15" x14ac:dyDescent="0.25">
      <c r="A203" s="99">
        <v>311</v>
      </c>
      <c r="B203" s="78">
        <v>65.400000000000006</v>
      </c>
      <c r="C203" s="96">
        <f>[1]Hoja1!N569</f>
        <v>32126.222611896246</v>
      </c>
      <c r="D203" s="48"/>
      <c r="E203" s="48">
        <v>32120</v>
      </c>
      <c r="F203" s="100"/>
      <c r="G203" s="49"/>
      <c r="H203" s="48">
        <f>F203+G203+(J138*B203)+(J140*B203)</f>
        <v>41787.677021490381</v>
      </c>
      <c r="I203" s="49"/>
      <c r="J203" s="48">
        <f t="shared" si="4"/>
        <v>41787.677021490381</v>
      </c>
      <c r="K203" s="70"/>
      <c r="L203" s="48">
        <f t="shared" si="5"/>
        <v>8357.5354042980762</v>
      </c>
      <c r="M203" s="48">
        <v>7</v>
      </c>
      <c r="N203" s="97">
        <f t="shared" si="6"/>
        <v>33437.141617192305</v>
      </c>
      <c r="O203" s="98">
        <f>N203/O139</f>
        <v>928.80948936645291</v>
      </c>
    </row>
    <row r="204" spans="1:15" x14ac:dyDescent="0.25">
      <c r="A204" s="99">
        <v>312</v>
      </c>
      <c r="B204" s="78">
        <v>37.340000000000003</v>
      </c>
      <c r="C204" s="96">
        <f>[1]Hoja1!N570</f>
        <v>18077.973888810484</v>
      </c>
      <c r="D204" s="48"/>
      <c r="E204" s="48">
        <v>24000</v>
      </c>
      <c r="F204" s="100"/>
      <c r="G204" s="49"/>
      <c r="H204" s="48">
        <f>F204+G204+(J138*B204)+(J140*B204)</f>
        <v>23858.591131230132</v>
      </c>
      <c r="I204" s="49"/>
      <c r="J204" s="48">
        <f t="shared" si="4"/>
        <v>23858.591131230132</v>
      </c>
      <c r="K204" s="70"/>
      <c r="L204" s="48">
        <f t="shared" si="5"/>
        <v>4771.7182262460265</v>
      </c>
      <c r="M204" s="48">
        <v>-11844</v>
      </c>
      <c r="N204" s="97">
        <f t="shared" si="6"/>
        <v>7242.8729049841058</v>
      </c>
      <c r="O204" s="98">
        <f>N204/O139</f>
        <v>201.19091402733628</v>
      </c>
    </row>
    <row r="205" spans="1:15" x14ac:dyDescent="0.25">
      <c r="A205" s="99">
        <v>313</v>
      </c>
      <c r="B205" s="78">
        <v>57.33</v>
      </c>
      <c r="C205" s="96">
        <f>[1]Hoja1!N571</f>
        <v>28387.900188685198</v>
      </c>
      <c r="D205" s="48"/>
      <c r="E205" s="48">
        <v>28500</v>
      </c>
      <c r="F205" s="100"/>
      <c r="G205" s="49">
        <f>I139*1</f>
        <v>300</v>
      </c>
      <c r="H205" s="48">
        <f>F205+G205+(J138*B205)+(J140*B205)</f>
        <v>36931.307700948673</v>
      </c>
      <c r="I205" s="49"/>
      <c r="J205" s="48">
        <f t="shared" si="4"/>
        <v>36931.307700948673</v>
      </c>
      <c r="K205" s="70"/>
      <c r="L205" s="48">
        <f t="shared" si="5"/>
        <v>7386.2615401897347</v>
      </c>
      <c r="M205" s="48">
        <v>-112</v>
      </c>
      <c r="N205" s="97">
        <f t="shared" si="6"/>
        <v>29433.046160758939</v>
      </c>
      <c r="O205" s="98">
        <f>N205/O139</f>
        <v>817.58461557663713</v>
      </c>
    </row>
    <row r="206" spans="1:15" x14ac:dyDescent="0.25">
      <c r="A206" s="99">
        <v>314</v>
      </c>
      <c r="B206" s="78">
        <v>33.94</v>
      </c>
      <c r="C206" s="96">
        <f>[1]Hoja1!N572</f>
        <v>16517.751306540649</v>
      </c>
      <c r="D206" s="48"/>
      <c r="E206" s="48">
        <v>16518</v>
      </c>
      <c r="F206" s="100"/>
      <c r="G206" s="49"/>
      <c r="H206" s="48">
        <f>F206+G206+(J138*B206)+(J140*B206)</f>
        <v>21686.143090357542</v>
      </c>
      <c r="I206" s="49"/>
      <c r="J206" s="48">
        <f t="shared" ref="J206:J269" si="7">H206+I206</f>
        <v>21686.143090357542</v>
      </c>
      <c r="K206" s="70"/>
      <c r="L206" s="48">
        <f t="shared" ref="L206:L269" si="8">SUM(J206)*20/100</f>
        <v>4337.2286180715082</v>
      </c>
      <c r="M206" s="48">
        <v>0</v>
      </c>
      <c r="N206" s="97">
        <f t="shared" ref="N206:N269" si="9">J206+K206-L206+M206</f>
        <v>17348.914472286033</v>
      </c>
      <c r="O206" s="98">
        <f>N206/O139</f>
        <v>481.91429089683425</v>
      </c>
    </row>
    <row r="207" spans="1:15" x14ac:dyDescent="0.25">
      <c r="A207" s="99">
        <v>315</v>
      </c>
      <c r="B207" s="78">
        <v>35.549999999999997</v>
      </c>
      <c r="C207" s="96">
        <f>[1]Hoja1!N573</f>
        <v>17431.650823439013</v>
      </c>
      <c r="D207" s="48"/>
      <c r="E207" s="48">
        <v>17500</v>
      </c>
      <c r="F207" s="100"/>
      <c r="G207" s="49"/>
      <c r="H207" s="48">
        <f>F207+G207+(J138*B207)+(J140*B207)</f>
        <v>22714.861133241327</v>
      </c>
      <c r="I207" s="49"/>
      <c r="J207" s="48">
        <f t="shared" si="7"/>
        <v>22714.861133241327</v>
      </c>
      <c r="K207" s="70"/>
      <c r="L207" s="48">
        <f t="shared" si="8"/>
        <v>4542.9722266482659</v>
      </c>
      <c r="M207" s="48">
        <v>-69</v>
      </c>
      <c r="N207" s="97">
        <f t="shared" si="9"/>
        <v>18102.888906593063</v>
      </c>
      <c r="O207" s="98">
        <f>N207/O139</f>
        <v>502.85802518314063</v>
      </c>
    </row>
    <row r="208" spans="1:15" x14ac:dyDescent="0.25">
      <c r="A208" s="99">
        <v>316</v>
      </c>
      <c r="B208" s="78">
        <v>63.72</v>
      </c>
      <c r="C208" s="96">
        <f>[1]Hoja1!N574</f>
        <v>156745.12977542862</v>
      </c>
      <c r="D208" s="48"/>
      <c r="E208" s="73">
        <v>156745</v>
      </c>
      <c r="F208" s="100"/>
      <c r="G208" s="49">
        <f>I139*1</f>
        <v>300</v>
      </c>
      <c r="H208" s="48">
        <f>F208+G208+(J138*B208)+(J140*B208)</f>
        <v>41014.23210717686</v>
      </c>
      <c r="I208" s="49"/>
      <c r="J208" s="48">
        <f t="shared" si="7"/>
        <v>41014.23210717686</v>
      </c>
      <c r="K208" s="70"/>
      <c r="L208" s="48">
        <f t="shared" si="8"/>
        <v>8202.8464214353717</v>
      </c>
      <c r="M208" s="48"/>
      <c r="N208" s="97">
        <f t="shared" si="9"/>
        <v>32811.385685741487</v>
      </c>
      <c r="O208" s="98">
        <f>N208/O139</f>
        <v>911.42738015948578</v>
      </c>
    </row>
    <row r="209" spans="1:15" x14ac:dyDescent="0.25">
      <c r="A209" s="99">
        <v>317</v>
      </c>
      <c r="B209" s="78">
        <v>62.46</v>
      </c>
      <c r="C209" s="96">
        <f>[1]Hoja1!N575</f>
        <v>14749.971320168796</v>
      </c>
      <c r="D209" s="48"/>
      <c r="E209" s="48">
        <f>11000+110+11000</f>
        <v>22110</v>
      </c>
      <c r="F209" s="100"/>
      <c r="G209" s="49"/>
      <c r="H209" s="48">
        <f>F209+G209+(J138*B209)+(J140*B209)</f>
        <v>39909.148421441729</v>
      </c>
      <c r="I209" s="49"/>
      <c r="J209" s="48">
        <f t="shared" si="7"/>
        <v>39909.148421441729</v>
      </c>
      <c r="K209" s="70"/>
      <c r="L209" s="48">
        <f t="shared" si="8"/>
        <v>7981.8296842883456</v>
      </c>
      <c r="M209" s="48">
        <v>-7360</v>
      </c>
      <c r="N209" s="97">
        <f t="shared" si="9"/>
        <v>24567.318737153382</v>
      </c>
      <c r="O209" s="98">
        <f>N209/O139</f>
        <v>682.4255204764828</v>
      </c>
    </row>
    <row r="210" spans="1:15" x14ac:dyDescent="0.25">
      <c r="A210" s="99">
        <v>318</v>
      </c>
      <c r="B210" s="78">
        <v>38.369999999999997</v>
      </c>
      <c r="C210" s="96">
        <f>[1]Hoja1!N576</f>
        <v>18589.953082851054</v>
      </c>
      <c r="D210" s="48"/>
      <c r="E210" s="48">
        <v>18500</v>
      </c>
      <c r="F210" s="100"/>
      <c r="G210" s="49">
        <f>I139*1</f>
        <v>300</v>
      </c>
      <c r="H210" s="48">
        <f>F210+G210+(J138*B210)+(J140*B210)</f>
        <v>24816.715096553296</v>
      </c>
      <c r="I210" s="49"/>
      <c r="J210" s="48">
        <f t="shared" si="7"/>
        <v>24816.715096553296</v>
      </c>
      <c r="K210" s="70"/>
      <c r="L210" s="48">
        <f t="shared" si="8"/>
        <v>4963.3430193106587</v>
      </c>
      <c r="M210" s="48">
        <v>90</v>
      </c>
      <c r="N210" s="97">
        <f t="shared" si="9"/>
        <v>19943.372077242639</v>
      </c>
      <c r="O210" s="98">
        <f>N210/O139</f>
        <v>553.98255770118442</v>
      </c>
    </row>
    <row r="211" spans="1:15" x14ac:dyDescent="0.25">
      <c r="A211" s="99">
        <v>401</v>
      </c>
      <c r="B211" s="78">
        <v>38.979999999999997</v>
      </c>
      <c r="C211" s="96">
        <f>[1]Hoja1!N577</f>
        <v>19148.610663787698</v>
      </c>
      <c r="D211" s="48"/>
      <c r="E211" s="48">
        <v>19149</v>
      </c>
      <c r="F211" s="100"/>
      <c r="G211" s="49"/>
      <c r="H211" s="48">
        <f>F211+G211+(J138*B211)+(J140*B211)</f>
        <v>24906.477833298086</v>
      </c>
      <c r="I211" s="49"/>
      <c r="J211" s="48">
        <f t="shared" si="7"/>
        <v>24906.477833298086</v>
      </c>
      <c r="K211" s="70"/>
      <c r="L211" s="48">
        <f t="shared" si="8"/>
        <v>4981.2955666596172</v>
      </c>
      <c r="M211" s="97">
        <v>0</v>
      </c>
      <c r="N211" s="97">
        <f t="shared" si="9"/>
        <v>19925.182266638469</v>
      </c>
      <c r="O211" s="98">
        <f>N211/O139</f>
        <v>553.47728518440192</v>
      </c>
    </row>
    <row r="212" spans="1:15" x14ac:dyDescent="0.25">
      <c r="A212" s="99">
        <v>402</v>
      </c>
      <c r="B212" s="78">
        <v>63.5</v>
      </c>
      <c r="C212" s="96">
        <f>[1]Hoja1!N578</f>
        <v>31193.862933568984</v>
      </c>
      <c r="D212" s="73"/>
      <c r="E212" s="48">
        <v>31194</v>
      </c>
      <c r="F212" s="100"/>
      <c r="G212" s="49"/>
      <c r="H212" s="48">
        <f>F212+G212+(J138*B212)+(J140*B212)</f>
        <v>40573.661939826285</v>
      </c>
      <c r="I212" s="49"/>
      <c r="J212" s="48">
        <f t="shared" si="7"/>
        <v>40573.661939826285</v>
      </c>
      <c r="K212" s="70"/>
      <c r="L212" s="48">
        <f t="shared" si="8"/>
        <v>8114.7323879652567</v>
      </c>
      <c r="M212" s="48">
        <v>0</v>
      </c>
      <c r="N212" s="97">
        <f t="shared" si="9"/>
        <v>32458.929551861027</v>
      </c>
      <c r="O212" s="98">
        <f>N212/O139</f>
        <v>901.63693199613965</v>
      </c>
    </row>
    <row r="213" spans="1:15" x14ac:dyDescent="0.25">
      <c r="A213" s="99">
        <v>403</v>
      </c>
      <c r="B213" s="78">
        <v>61.64</v>
      </c>
      <c r="C213" s="96">
        <f>[1]Hoja1!N579</f>
        <v>30280.15293268019</v>
      </c>
      <c r="D213" s="48"/>
      <c r="E213" s="48">
        <v>30300</v>
      </c>
      <c r="F213" s="100"/>
      <c r="G213" s="49"/>
      <c r="H213" s="48">
        <f>F213+G213+(J138*B213)+(J140*B213)</f>
        <v>39385.205070407748</v>
      </c>
      <c r="I213" s="49"/>
      <c r="J213" s="48">
        <f t="shared" si="7"/>
        <v>39385.205070407748</v>
      </c>
      <c r="K213" s="70"/>
      <c r="L213" s="48">
        <f t="shared" si="8"/>
        <v>7877.0410140815493</v>
      </c>
      <c r="M213" s="48">
        <v>-20</v>
      </c>
      <c r="N213" s="97">
        <f t="shared" si="9"/>
        <v>31488.164056326197</v>
      </c>
      <c r="O213" s="98">
        <f>N213/O139</f>
        <v>874.67122378683882</v>
      </c>
    </row>
    <row r="214" spans="1:15" x14ac:dyDescent="0.25">
      <c r="A214" s="99">
        <v>404</v>
      </c>
      <c r="B214" s="78">
        <v>36.4</v>
      </c>
      <c r="C214" s="96">
        <f>[1]Hoja1!N580</f>
        <v>43958.206469006473</v>
      </c>
      <c r="D214" s="48"/>
      <c r="E214" s="48">
        <f>50+508*35</f>
        <v>17830</v>
      </c>
      <c r="F214" s="100"/>
      <c r="G214" s="49"/>
      <c r="H214" s="48">
        <f>F214+G214+(J138*B214)+(J140*B214)</f>
        <v>23257.973143459472</v>
      </c>
      <c r="I214" s="49"/>
      <c r="J214" s="48">
        <f t="shared" si="7"/>
        <v>23257.973143459472</v>
      </c>
      <c r="K214" s="70"/>
      <c r="L214" s="48">
        <f t="shared" si="8"/>
        <v>4651.5946286918943</v>
      </c>
      <c r="M214" s="48">
        <v>-10</v>
      </c>
      <c r="N214" s="97">
        <f t="shared" si="9"/>
        <v>18596.378514767577</v>
      </c>
      <c r="O214" s="98">
        <f>N214/O139</f>
        <v>516.56606985465487</v>
      </c>
    </row>
    <row r="215" spans="1:15" x14ac:dyDescent="0.25">
      <c r="A215" s="99">
        <v>405</v>
      </c>
      <c r="B215" s="78">
        <v>71.25</v>
      </c>
      <c r="C215" s="96">
        <f>[1]Hoja1!N581</f>
        <v>35240.987937272279</v>
      </c>
      <c r="D215" s="48"/>
      <c r="E215" s="48">
        <v>35241</v>
      </c>
      <c r="F215" s="100"/>
      <c r="G215" s="49">
        <f>I139*1</f>
        <v>300</v>
      </c>
      <c r="H215" s="48">
        <f>F215+G215+(J138*B215)+(J140*B215)+2560</f>
        <v>48385.565562403506</v>
      </c>
      <c r="I215" s="49"/>
      <c r="J215" s="48">
        <f t="shared" si="7"/>
        <v>48385.565562403506</v>
      </c>
      <c r="K215" s="70"/>
      <c r="L215" s="48">
        <f t="shared" si="8"/>
        <v>9677.1131124807016</v>
      </c>
      <c r="M215" s="48">
        <v>0</v>
      </c>
      <c r="N215" s="97">
        <f t="shared" si="9"/>
        <v>38708.452449922806</v>
      </c>
      <c r="O215" s="98">
        <f>N215/O139</f>
        <v>1075.2347902756335</v>
      </c>
    </row>
    <row r="216" spans="1:15" x14ac:dyDescent="0.25">
      <c r="A216" s="99">
        <v>406</v>
      </c>
      <c r="B216" s="78">
        <v>89.95</v>
      </c>
      <c r="C216" s="96">
        <f>[1]Hoja1!N582</f>
        <v>9427.2121397563824</v>
      </c>
      <c r="D216" s="73"/>
      <c r="E216" s="48">
        <f>270*35</f>
        <v>9450</v>
      </c>
      <c r="F216" s="100"/>
      <c r="G216" s="49">
        <f>I139*1</f>
        <v>300</v>
      </c>
      <c r="H216" s="48">
        <f>F216+G216+(J138*B216)+(J140*B216)</f>
        <v>57774.029787202737</v>
      </c>
      <c r="I216" s="49"/>
      <c r="J216" s="48">
        <f t="shared" si="7"/>
        <v>57774.029787202737</v>
      </c>
      <c r="K216" s="70"/>
      <c r="L216" s="48">
        <f t="shared" si="8"/>
        <v>11554.805957440547</v>
      </c>
      <c r="M216" s="49">
        <v>-23</v>
      </c>
      <c r="N216" s="97">
        <f t="shared" si="9"/>
        <v>46196.223829762188</v>
      </c>
      <c r="O216" s="98">
        <f>N216/O139</f>
        <v>1283.2284397156163</v>
      </c>
    </row>
    <row r="217" spans="1:15" x14ac:dyDescent="0.25">
      <c r="A217" s="99">
        <v>407</v>
      </c>
      <c r="B217" s="78">
        <v>58.05</v>
      </c>
      <c r="C217" s="96">
        <f>[1]Hoja1!N583</f>
        <v>28516.594382577627</v>
      </c>
      <c r="D217" s="73"/>
      <c r="E217" s="48">
        <f>4797+23720</f>
        <v>28517</v>
      </c>
      <c r="F217" s="100"/>
      <c r="G217" s="49"/>
      <c r="H217" s="48">
        <f>F217+G217+(J138*B217)+(J140*B217)</f>
        <v>37091.35552136875</v>
      </c>
      <c r="I217" s="49"/>
      <c r="J217" s="48">
        <f t="shared" si="7"/>
        <v>37091.35552136875</v>
      </c>
      <c r="K217" s="70"/>
      <c r="L217" s="48">
        <f t="shared" si="8"/>
        <v>7418.2711042737492</v>
      </c>
      <c r="M217" s="73">
        <v>0</v>
      </c>
      <c r="N217" s="97">
        <f t="shared" si="9"/>
        <v>29673.084417095</v>
      </c>
      <c r="O217" s="101">
        <f>N217/O139</f>
        <v>824.25234491930553</v>
      </c>
    </row>
    <row r="218" spans="1:15" x14ac:dyDescent="0.25">
      <c r="A218" s="99">
        <v>408</v>
      </c>
      <c r="B218" s="78">
        <v>64.459999999999994</v>
      </c>
      <c r="C218" s="96">
        <f>[1]Hoja1!N584</f>
        <v>38222.88479534637</v>
      </c>
      <c r="D218" s="48"/>
      <c r="E218" s="48">
        <v>38223</v>
      </c>
      <c r="F218" s="72">
        <f>O138*B218*13</f>
        <v>7234.5190683729761</v>
      </c>
      <c r="G218" s="49">
        <f>I139*1</f>
        <v>300</v>
      </c>
      <c r="H218" s="48">
        <f>F218+G218+(J138*B218)+(J140*B218)</f>
        <v>48721.578102092695</v>
      </c>
      <c r="I218" s="49"/>
      <c r="J218" s="48">
        <f t="shared" si="7"/>
        <v>48721.578102092695</v>
      </c>
      <c r="K218" s="70"/>
      <c r="L218" s="48">
        <f t="shared" si="8"/>
        <v>9744.3156204185398</v>
      </c>
      <c r="M218" s="48">
        <v>0</v>
      </c>
      <c r="N218" s="97">
        <f t="shared" si="9"/>
        <v>38977.262481674159</v>
      </c>
      <c r="O218" s="98">
        <f>N218/O139</f>
        <v>1082.7017356020599</v>
      </c>
    </row>
    <row r="219" spans="1:15" x14ac:dyDescent="0.25">
      <c r="A219" s="99">
        <v>409</v>
      </c>
      <c r="B219" s="78">
        <v>37.159999999999997</v>
      </c>
      <c r="C219" s="96">
        <f>[1]Hoja1!N585</f>
        <v>17762.550340337377</v>
      </c>
      <c r="D219" s="48"/>
      <c r="E219" s="48">
        <v>18000</v>
      </c>
      <c r="F219" s="78"/>
      <c r="G219" s="49"/>
      <c r="H219" s="48">
        <f>F219+G219+(J138*B219)+(J140*B219)</f>
        <v>23743.579176125109</v>
      </c>
      <c r="I219" s="49"/>
      <c r="J219" s="48">
        <f t="shared" si="7"/>
        <v>23743.579176125109</v>
      </c>
      <c r="K219" s="70"/>
      <c r="L219" s="48">
        <f t="shared" si="8"/>
        <v>4748.7158352250226</v>
      </c>
      <c r="M219" s="48">
        <v>-237</v>
      </c>
      <c r="N219" s="97">
        <f t="shared" si="9"/>
        <v>18757.863340900087</v>
      </c>
      <c r="O219" s="98">
        <f>N219/O139</f>
        <v>521.05175946944689</v>
      </c>
    </row>
    <row r="220" spans="1:15" x14ac:dyDescent="0.25">
      <c r="A220" s="99">
        <v>410</v>
      </c>
      <c r="B220" s="78">
        <v>57.61</v>
      </c>
      <c r="C220" s="96">
        <f>[1]Hoja1!N586</f>
        <v>74269.447930754483</v>
      </c>
      <c r="D220" s="48"/>
      <c r="E220" s="48">
        <f>10000+14000+12000</f>
        <v>36000</v>
      </c>
      <c r="F220" s="100"/>
      <c r="G220" s="49">
        <f>I139*1</f>
        <v>300</v>
      </c>
      <c r="H220" s="48">
        <f>F220+G220+(J138*B220)+(J140*B220)</f>
        <v>37110.215186667592</v>
      </c>
      <c r="I220" s="49"/>
      <c r="J220" s="48">
        <f t="shared" si="7"/>
        <v>37110.215186667592</v>
      </c>
      <c r="K220" s="70"/>
      <c r="L220" s="48">
        <f t="shared" si="8"/>
        <v>7422.0430373335184</v>
      </c>
      <c r="M220" s="48">
        <v>25404</v>
      </c>
      <c r="N220" s="97">
        <f t="shared" si="9"/>
        <v>55092.172149334074</v>
      </c>
      <c r="O220" s="98">
        <f>N220/O139</f>
        <v>1530.3381152592799</v>
      </c>
    </row>
    <row r="221" spans="1:15" x14ac:dyDescent="0.25">
      <c r="A221" s="99">
        <v>411</v>
      </c>
      <c r="B221" s="78">
        <v>64.91</v>
      </c>
      <c r="C221" s="96">
        <f>[1]Hoja1!N587</f>
        <v>38488.046107135167</v>
      </c>
      <c r="D221" s="48"/>
      <c r="E221" s="48">
        <v>38488</v>
      </c>
      <c r="F221" s="72">
        <f>O138*B221*13</f>
        <v>7285.0237779722293</v>
      </c>
      <c r="G221" s="49">
        <f>I139*1</f>
        <v>300</v>
      </c>
      <c r="H221" s="48">
        <f>F221+G221+(J138*B221)+(J140*B221)</f>
        <v>49059.61269945449</v>
      </c>
      <c r="I221" s="49"/>
      <c r="J221" s="48">
        <f t="shared" si="7"/>
        <v>49059.61269945449</v>
      </c>
      <c r="K221" s="70"/>
      <c r="L221" s="48">
        <f t="shared" si="8"/>
        <v>9811.9225398908966</v>
      </c>
      <c r="M221" s="48">
        <v>0</v>
      </c>
      <c r="N221" s="97">
        <f t="shared" si="9"/>
        <v>39247.690159563594</v>
      </c>
      <c r="O221" s="98">
        <f>N221/O139</f>
        <v>1090.2136155434332</v>
      </c>
    </row>
    <row r="222" spans="1:15" x14ac:dyDescent="0.25">
      <c r="A222" s="99">
        <v>412</v>
      </c>
      <c r="B222" s="78">
        <v>37.450000000000003</v>
      </c>
      <c r="C222" s="96">
        <f>[1]Hoja1!N588</f>
        <v>18396.010501766275</v>
      </c>
      <c r="D222" s="48"/>
      <c r="E222" s="48">
        <f>300*35+7910+600*35</f>
        <v>39410</v>
      </c>
      <c r="F222" s="100"/>
      <c r="G222" s="49"/>
      <c r="H222" s="48">
        <f>F222+G222+(J138*B222)+(J140*B222)</f>
        <v>23928.876214905424</v>
      </c>
      <c r="I222" s="49"/>
      <c r="J222" s="48">
        <f t="shared" si="7"/>
        <v>23928.876214905424</v>
      </c>
      <c r="K222" s="70"/>
      <c r="L222" s="48">
        <f t="shared" si="8"/>
        <v>4785.7752429810844</v>
      </c>
      <c r="M222" s="48">
        <v>-21014</v>
      </c>
      <c r="N222" s="97">
        <f t="shared" si="9"/>
        <v>-1870.8990280756625</v>
      </c>
      <c r="O222" s="98">
        <f>N222/O139</f>
        <v>-51.969417446546181</v>
      </c>
    </row>
    <row r="223" spans="1:15" x14ac:dyDescent="0.25">
      <c r="A223" s="99">
        <v>413</v>
      </c>
      <c r="B223" s="78">
        <v>57.99</v>
      </c>
      <c r="C223" s="96">
        <f>[1]Hoja1!N589</f>
        <v>28687.119866419926</v>
      </c>
      <c r="D223" s="48"/>
      <c r="E223" s="48">
        <v>28687</v>
      </c>
      <c r="F223" s="100"/>
      <c r="G223" s="49">
        <f>I139*1</f>
        <v>300</v>
      </c>
      <c r="H223" s="48">
        <f>F223+G223+(J138*B223)+(J140*B223)</f>
        <v>37353.018203000407</v>
      </c>
      <c r="I223" s="49"/>
      <c r="J223" s="48">
        <f t="shared" si="7"/>
        <v>37353.018203000407</v>
      </c>
      <c r="K223" s="70"/>
      <c r="L223" s="48">
        <f t="shared" si="8"/>
        <v>7470.6036406000821</v>
      </c>
      <c r="M223" s="48">
        <v>0</v>
      </c>
      <c r="N223" s="97">
        <f t="shared" si="9"/>
        <v>29882.414562400325</v>
      </c>
      <c r="O223" s="98">
        <f>N223/O139</f>
        <v>830.06707117778683</v>
      </c>
    </row>
    <row r="224" spans="1:15" x14ac:dyDescent="0.25">
      <c r="A224" s="99">
        <v>414</v>
      </c>
      <c r="B224" s="78">
        <v>34.119999999999997</v>
      </c>
      <c r="C224" s="96">
        <f>[1]Hoja1!N590</f>
        <v>16702.17485501376</v>
      </c>
      <c r="D224" s="48"/>
      <c r="E224" s="48">
        <f>18000+900*35</f>
        <v>49500</v>
      </c>
      <c r="F224" s="100"/>
      <c r="G224" s="49"/>
      <c r="H224" s="48">
        <f>F224+G224+(J138*B224)+(J140*B224)</f>
        <v>21801.155045462561</v>
      </c>
      <c r="I224" s="49"/>
      <c r="J224" s="48">
        <f t="shared" si="7"/>
        <v>21801.155045462561</v>
      </c>
      <c r="K224" s="70"/>
      <c r="L224" s="48">
        <f t="shared" si="8"/>
        <v>4360.231009092513</v>
      </c>
      <c r="M224" s="48">
        <v>-32798</v>
      </c>
      <c r="N224" s="97">
        <f t="shared" si="9"/>
        <v>-15357.075963629952</v>
      </c>
      <c r="O224" s="98">
        <f>N224/O139</f>
        <v>-426.58544343416531</v>
      </c>
    </row>
    <row r="225" spans="1:15" x14ac:dyDescent="0.25">
      <c r="A225" s="99">
        <v>415</v>
      </c>
      <c r="B225" s="78">
        <v>35.450000000000003</v>
      </c>
      <c r="C225" s="96">
        <f>[1]Hoja1!N591</f>
        <v>17410.526629842843</v>
      </c>
      <c r="D225" s="48"/>
      <c r="E225" s="48">
        <f>497*35</f>
        <v>17395</v>
      </c>
      <c r="F225" s="100"/>
      <c r="G225" s="49"/>
      <c r="H225" s="48">
        <f>F225+G225+(J138*B225)+(J140*B225)</f>
        <v>22650.965602627432</v>
      </c>
      <c r="I225" s="49"/>
      <c r="J225" s="48">
        <f t="shared" si="7"/>
        <v>22650.965602627432</v>
      </c>
      <c r="K225" s="70"/>
      <c r="L225" s="48">
        <f t="shared" si="8"/>
        <v>4530.1931205254859</v>
      </c>
      <c r="M225" s="48">
        <v>16</v>
      </c>
      <c r="N225" s="97">
        <f t="shared" si="9"/>
        <v>18136.772482101944</v>
      </c>
      <c r="O225" s="98">
        <f>N225/O139</f>
        <v>503.79923561394287</v>
      </c>
    </row>
    <row r="226" spans="1:15" x14ac:dyDescent="0.25">
      <c r="A226" s="99">
        <v>416</v>
      </c>
      <c r="B226" s="78">
        <v>64.680000000000007</v>
      </c>
      <c r="C226" s="96">
        <f>[1]Hoja1!N592</f>
        <v>31783.528418003814</v>
      </c>
      <c r="D226" s="48"/>
      <c r="E226" s="48">
        <f>910*35</f>
        <v>31850</v>
      </c>
      <c r="F226" s="100"/>
      <c r="G226" s="49"/>
      <c r="H226" s="48">
        <f>F226+G226+(J138*B226)+(J140*B226)</f>
        <v>41327.629201070304</v>
      </c>
      <c r="I226" s="49"/>
      <c r="J226" s="48">
        <f t="shared" si="7"/>
        <v>41327.629201070304</v>
      </c>
      <c r="K226" s="70"/>
      <c r="L226" s="48">
        <f t="shared" si="8"/>
        <v>8265.5258402140607</v>
      </c>
      <c r="M226" s="48">
        <v>-67</v>
      </c>
      <c r="N226" s="97">
        <f t="shared" si="9"/>
        <v>32995.103360856243</v>
      </c>
      <c r="O226" s="98">
        <f>N226/O139</f>
        <v>916.53064891267343</v>
      </c>
    </row>
    <row r="227" spans="1:15" x14ac:dyDescent="0.25">
      <c r="A227" s="99">
        <v>417</v>
      </c>
      <c r="B227" s="78">
        <v>61.98</v>
      </c>
      <c r="C227" s="96">
        <f>[1]Hoja1!N593</f>
        <v>30927.175190907168</v>
      </c>
      <c r="D227" s="48"/>
      <c r="E227" s="48">
        <v>30927</v>
      </c>
      <c r="F227" s="100"/>
      <c r="G227" s="49">
        <f>I139*2</f>
        <v>600</v>
      </c>
      <c r="H227" s="48">
        <f>F227+G227+(J138*B227)+(J140*B227)</f>
        <v>40202.449874495003</v>
      </c>
      <c r="I227" s="49"/>
      <c r="J227" s="48">
        <f t="shared" si="7"/>
        <v>40202.449874495003</v>
      </c>
      <c r="K227" s="80"/>
      <c r="L227" s="48">
        <f t="shared" si="8"/>
        <v>8040.489974899001</v>
      </c>
      <c r="M227" s="48">
        <v>0</v>
      </c>
      <c r="N227" s="97">
        <f t="shared" si="9"/>
        <v>32161.959899596004</v>
      </c>
      <c r="O227" s="98">
        <f>N227/O139</f>
        <v>893.38777498877789</v>
      </c>
    </row>
    <row r="228" spans="1:15" x14ac:dyDescent="0.25">
      <c r="A228" s="99">
        <v>418</v>
      </c>
      <c r="B228" s="78">
        <v>38.130000000000003</v>
      </c>
      <c r="C228" s="96">
        <f>[1]Hoja1!N594</f>
        <v>18932.055018220242</v>
      </c>
      <c r="D228" s="48"/>
      <c r="E228" s="48">
        <v>19000</v>
      </c>
      <c r="F228" s="78"/>
      <c r="G228" s="49">
        <f>I139*1</f>
        <v>300</v>
      </c>
      <c r="H228" s="48">
        <f>F228+G228+(J138*B228)+(J140*B228)</f>
        <v>24663.365823079941</v>
      </c>
      <c r="I228" s="49"/>
      <c r="J228" s="48">
        <f t="shared" si="7"/>
        <v>24663.365823079941</v>
      </c>
      <c r="K228" s="70"/>
      <c r="L228" s="48">
        <f t="shared" si="8"/>
        <v>4932.6731646159888</v>
      </c>
      <c r="M228" s="48">
        <v>-68</v>
      </c>
      <c r="N228" s="97">
        <f t="shared" si="9"/>
        <v>19662.692658463951</v>
      </c>
      <c r="O228" s="98">
        <f>N228/O139</f>
        <v>546.18590717955419</v>
      </c>
    </row>
    <row r="229" spans="1:15" x14ac:dyDescent="0.25">
      <c r="A229" s="99">
        <v>501</v>
      </c>
      <c r="B229" s="78">
        <v>39.46</v>
      </c>
      <c r="C229" s="96">
        <f>[1]Hoja1!N595</f>
        <v>19385.406793049322</v>
      </c>
      <c r="D229" s="48"/>
      <c r="E229" s="48">
        <v>19385</v>
      </c>
      <c r="F229" s="100"/>
      <c r="G229" s="49"/>
      <c r="H229" s="48">
        <f>F229+G229+(J138*B229)+(J140*B229)</f>
        <v>25213.176380244804</v>
      </c>
      <c r="I229" s="49"/>
      <c r="J229" s="48">
        <f t="shared" si="7"/>
        <v>25213.176380244804</v>
      </c>
      <c r="K229" s="70"/>
      <c r="L229" s="48">
        <f t="shared" si="8"/>
        <v>5042.6352760489608</v>
      </c>
      <c r="M229" s="48">
        <v>0</v>
      </c>
      <c r="N229" s="97">
        <f t="shared" si="9"/>
        <v>20170.541104195843</v>
      </c>
      <c r="O229" s="98">
        <f>N229/O139</f>
        <v>560.29280844988455</v>
      </c>
    </row>
    <row r="230" spans="1:15" x14ac:dyDescent="0.25">
      <c r="A230" s="99">
        <v>502</v>
      </c>
      <c r="B230" s="78">
        <v>64</v>
      </c>
      <c r="C230" s="96">
        <f>[1]Hoja1!N596</f>
        <v>31571.48390154984</v>
      </c>
      <c r="D230" s="48"/>
      <c r="E230" s="48">
        <v>32000</v>
      </c>
      <c r="F230" s="100"/>
      <c r="G230" s="49">
        <f>I139*1</f>
        <v>300</v>
      </c>
      <c r="H230" s="48">
        <f>F230+G230+(J138*B230)+(J140*B230)</f>
        <v>41193.139592895779</v>
      </c>
      <c r="I230" s="49"/>
      <c r="J230" s="48">
        <f t="shared" si="7"/>
        <v>41193.139592895779</v>
      </c>
      <c r="K230" s="70"/>
      <c r="L230" s="48">
        <f t="shared" si="8"/>
        <v>8238.6279185791554</v>
      </c>
      <c r="M230" s="48">
        <v>-429</v>
      </c>
      <c r="N230" s="97">
        <f t="shared" si="9"/>
        <v>32525.511674316622</v>
      </c>
      <c r="O230" s="98">
        <f>N230/O139</f>
        <v>903.48643539768398</v>
      </c>
    </row>
    <row r="231" spans="1:15" x14ac:dyDescent="0.25">
      <c r="A231" s="99">
        <v>503</v>
      </c>
      <c r="B231" s="78">
        <v>61.63</v>
      </c>
      <c r="C231" s="96">
        <f>[1]Hoja1!N597</f>
        <v>18012.240513320576</v>
      </c>
      <c r="D231" s="48"/>
      <c r="E231" s="48">
        <v>18012</v>
      </c>
      <c r="F231" s="100"/>
      <c r="G231" s="49">
        <f>I139*1</f>
        <v>300</v>
      </c>
      <c r="H231" s="48">
        <f>F231+G231+(J138*B231)+(J140*B231)</f>
        <v>39678.81551734636</v>
      </c>
      <c r="I231" s="49"/>
      <c r="J231" s="48">
        <f t="shared" si="7"/>
        <v>39678.81551734636</v>
      </c>
      <c r="K231" s="70"/>
      <c r="L231" s="48">
        <f t="shared" si="8"/>
        <v>7935.7631034692722</v>
      </c>
      <c r="M231" s="48">
        <v>0</v>
      </c>
      <c r="N231" s="97">
        <f t="shared" si="9"/>
        <v>31743.052413877089</v>
      </c>
      <c r="O231" s="98">
        <f>N231/O139</f>
        <v>881.75145594103026</v>
      </c>
    </row>
    <row r="232" spans="1:15" x14ac:dyDescent="0.25">
      <c r="A232" s="99">
        <v>504</v>
      </c>
      <c r="B232" s="78">
        <v>36.19</v>
      </c>
      <c r="C232" s="96">
        <f>[1]Hoja1!N598</f>
        <v>17670.045662454511</v>
      </c>
      <c r="D232" s="48"/>
      <c r="E232" s="48">
        <v>18000</v>
      </c>
      <c r="F232" s="100"/>
      <c r="G232" s="49"/>
      <c r="H232" s="48">
        <f>F232+G232+(J138*B232)+(J140*B232)</f>
        <v>23123.792529170285</v>
      </c>
      <c r="I232" s="49"/>
      <c r="J232" s="48">
        <f t="shared" si="7"/>
        <v>23123.792529170285</v>
      </c>
      <c r="K232" s="70"/>
      <c r="L232" s="48">
        <f t="shared" si="8"/>
        <v>4624.7585058340574</v>
      </c>
      <c r="M232" s="48">
        <v>-330</v>
      </c>
      <c r="N232" s="97">
        <f t="shared" si="9"/>
        <v>18169.034023336229</v>
      </c>
      <c r="O232" s="98">
        <f>N232/O139</f>
        <v>504.69538953711748</v>
      </c>
    </row>
    <row r="233" spans="1:15" x14ac:dyDescent="0.25">
      <c r="A233" s="99">
        <v>505</v>
      </c>
      <c r="B233" s="78">
        <v>60.9</v>
      </c>
      <c r="C233" s="96">
        <f>[1]Hoja1!N599</f>
        <v>522749.2972900754</v>
      </c>
      <c r="D233" s="48"/>
      <c r="E233" s="48">
        <v>0</v>
      </c>
      <c r="F233" s="100"/>
      <c r="G233" s="49">
        <f>I139*1</f>
        <v>300</v>
      </c>
      <c r="H233" s="48">
        <f>F233+G233+(J138*B233)+(J140*B233)</f>
        <v>39212.378143864888</v>
      </c>
      <c r="I233" s="49">
        <f>H233*10/100</f>
        <v>3921.2378143864889</v>
      </c>
      <c r="J233" s="48">
        <f t="shared" si="7"/>
        <v>43133.615958251379</v>
      </c>
      <c r="K233" s="70"/>
      <c r="L233" s="48">
        <f t="shared" si="8"/>
        <v>8626.7231916502751</v>
      </c>
      <c r="M233" s="73">
        <v>578841</v>
      </c>
      <c r="N233" s="97">
        <f t="shared" si="9"/>
        <v>613347.89276660106</v>
      </c>
      <c r="O233" s="98">
        <f>N233/O139</f>
        <v>17037.441465738917</v>
      </c>
    </row>
    <row r="234" spans="1:15" x14ac:dyDescent="0.25">
      <c r="A234" s="99">
        <v>506</v>
      </c>
      <c r="B234" s="78">
        <v>89</v>
      </c>
      <c r="C234" s="96">
        <f>[1]Hoja1!N600</f>
        <v>43960.532300592749</v>
      </c>
      <c r="D234" s="73"/>
      <c r="E234" s="48">
        <v>43961</v>
      </c>
      <c r="F234" s="100"/>
      <c r="G234" s="49">
        <f>I139*1</f>
        <v>300</v>
      </c>
      <c r="H234" s="48">
        <f>F234+G234+(J138*B234)+(J140*B234)</f>
        <v>57167.022246370689</v>
      </c>
      <c r="I234" s="49"/>
      <c r="J234" s="48">
        <f t="shared" si="7"/>
        <v>57167.022246370689</v>
      </c>
      <c r="K234" s="70"/>
      <c r="L234" s="48">
        <f t="shared" si="8"/>
        <v>11433.404449274138</v>
      </c>
      <c r="M234" s="48">
        <v>-1</v>
      </c>
      <c r="N234" s="97">
        <f t="shared" si="9"/>
        <v>45732.617797096551</v>
      </c>
      <c r="O234" s="98">
        <f>N234/O139</f>
        <v>1270.3504943637931</v>
      </c>
    </row>
    <row r="235" spans="1:15" x14ac:dyDescent="0.25">
      <c r="A235" s="99">
        <v>507</v>
      </c>
      <c r="B235" s="78">
        <v>58.25</v>
      </c>
      <c r="C235" s="96">
        <f>[1]Hoja1!N601</f>
        <v>28854.842769769974</v>
      </c>
      <c r="D235" s="48"/>
      <c r="E235" s="49">
        <v>28855</v>
      </c>
      <c r="F235" s="100"/>
      <c r="G235" s="49">
        <f>I139*1</f>
        <v>300</v>
      </c>
      <c r="H235" s="48">
        <f>F235+G235+(J138*B235)+(J140*B235)</f>
        <v>37519.14658259655</v>
      </c>
      <c r="I235" s="49"/>
      <c r="J235" s="48">
        <f t="shared" si="7"/>
        <v>37519.14658259655</v>
      </c>
      <c r="K235" s="70"/>
      <c r="L235" s="48">
        <f t="shared" si="8"/>
        <v>7503.8293165193099</v>
      </c>
      <c r="M235" s="48">
        <v>0</v>
      </c>
      <c r="N235" s="97">
        <f t="shared" si="9"/>
        <v>30015.31726607724</v>
      </c>
      <c r="O235" s="98">
        <f>N235/O139</f>
        <v>833.75881294658996</v>
      </c>
    </row>
    <row r="236" spans="1:15" x14ac:dyDescent="0.25">
      <c r="A236" s="99">
        <v>508</v>
      </c>
      <c r="B236" s="78">
        <v>66</v>
      </c>
      <c r="C236" s="96">
        <f>[1]Hoja1!N602</f>
        <v>38593.325729023592</v>
      </c>
      <c r="D236" s="73"/>
      <c r="E236" s="49">
        <v>38600</v>
      </c>
      <c r="F236" s="72">
        <f>O138*B236*13</f>
        <v>7407.3574078904194</v>
      </c>
      <c r="G236" s="49">
        <f>I139*1</f>
        <v>300</v>
      </c>
      <c r="H236" s="48">
        <f>F236+G236+(J138*B236)+(J140*B236)</f>
        <v>49878.407613064192</v>
      </c>
      <c r="I236" s="49"/>
      <c r="J236" s="48">
        <f t="shared" si="7"/>
        <v>49878.407613064192</v>
      </c>
      <c r="K236" s="70"/>
      <c r="L236" s="48">
        <f t="shared" si="8"/>
        <v>9975.6815226128383</v>
      </c>
      <c r="M236" s="48">
        <v>-7</v>
      </c>
      <c r="N236" s="97">
        <f t="shared" si="9"/>
        <v>39895.726090451353</v>
      </c>
      <c r="O236" s="98">
        <f>N236/O139</f>
        <v>1108.2146136236488</v>
      </c>
    </row>
    <row r="237" spans="1:15" x14ac:dyDescent="0.25">
      <c r="A237" s="99">
        <v>509</v>
      </c>
      <c r="B237" s="78">
        <v>37.83</v>
      </c>
      <c r="C237" s="96">
        <f>[1]Hoja1!N603</f>
        <v>18583.682437431726</v>
      </c>
      <c r="D237" s="73"/>
      <c r="E237" s="48">
        <v>18584</v>
      </c>
      <c r="F237" s="78"/>
      <c r="G237" s="49"/>
      <c r="H237" s="48">
        <f>F237+G237+(J138*B237)+(J140*B237)</f>
        <v>24171.679231238239</v>
      </c>
      <c r="I237" s="49"/>
      <c r="J237" s="48">
        <f t="shared" si="7"/>
        <v>24171.679231238239</v>
      </c>
      <c r="K237" s="70"/>
      <c r="L237" s="48">
        <f t="shared" si="8"/>
        <v>4834.3358462476472</v>
      </c>
      <c r="M237" s="48">
        <v>0</v>
      </c>
      <c r="N237" s="97">
        <f t="shared" si="9"/>
        <v>19337.343384990592</v>
      </c>
      <c r="O237" s="98">
        <f>N237/O139</f>
        <v>537.14842736084984</v>
      </c>
    </row>
    <row r="238" spans="1:15" x14ac:dyDescent="0.25">
      <c r="A238" s="99">
        <v>510</v>
      </c>
      <c r="B238" s="78">
        <v>58.12</v>
      </c>
      <c r="C238" s="96">
        <f>[1]Hoja1!N604</f>
        <v>28550.98131809495</v>
      </c>
      <c r="D238" s="48"/>
      <c r="E238" s="48">
        <v>28551</v>
      </c>
      <c r="F238" s="100"/>
      <c r="G238" s="49"/>
      <c r="H238" s="48">
        <f>F238+G238+(J138*B238)+(J140*B238)</f>
        <v>37136.082392798475</v>
      </c>
      <c r="I238" s="49"/>
      <c r="J238" s="48">
        <f t="shared" si="7"/>
        <v>37136.082392798475</v>
      </c>
      <c r="K238" s="70"/>
      <c r="L238" s="48">
        <f t="shared" si="8"/>
        <v>7427.2164785596951</v>
      </c>
      <c r="M238" s="48">
        <v>0</v>
      </c>
      <c r="N238" s="97">
        <f t="shared" si="9"/>
        <v>29708.865914238781</v>
      </c>
      <c r="O238" s="98">
        <f>N238/O139</f>
        <v>825.24627539552171</v>
      </c>
    </row>
    <row r="239" spans="1:15" x14ac:dyDescent="0.25">
      <c r="A239" s="99">
        <v>511</v>
      </c>
      <c r="B239" s="78">
        <v>65.099999999999994</v>
      </c>
      <c r="C239" s="96">
        <f>[1]Hoja1!N605</f>
        <v>32213.85003110773</v>
      </c>
      <c r="D239" s="48"/>
      <c r="E239" s="48">
        <v>32220</v>
      </c>
      <c r="F239" s="100"/>
      <c r="G239" s="49">
        <f>I139*1</f>
        <v>300</v>
      </c>
      <c r="H239" s="48">
        <f>F239+G239+(J138*B239)+(J140*B239)</f>
        <v>41895.990429648671</v>
      </c>
      <c r="I239" s="49"/>
      <c r="J239" s="48">
        <f t="shared" si="7"/>
        <v>41895.990429648671</v>
      </c>
      <c r="K239" s="70"/>
      <c r="L239" s="48">
        <f t="shared" si="8"/>
        <v>8379.1980859297346</v>
      </c>
      <c r="M239" s="48">
        <v>14</v>
      </c>
      <c r="N239" s="97">
        <f t="shared" si="9"/>
        <v>33530.792343718938</v>
      </c>
      <c r="O239" s="98">
        <f>N239/O139</f>
        <v>931.41089843663713</v>
      </c>
    </row>
    <row r="240" spans="1:15" x14ac:dyDescent="0.25">
      <c r="A240" s="99">
        <v>512</v>
      </c>
      <c r="B240" s="78">
        <v>37.61</v>
      </c>
      <c r="C240" s="96">
        <f>[1]Hoja1!N606</f>
        <v>20707.170132672163</v>
      </c>
      <c r="D240" s="73"/>
      <c r="E240" s="48">
        <v>19000</v>
      </c>
      <c r="F240" s="100"/>
      <c r="G240" s="49"/>
      <c r="H240" s="48">
        <f>F240+G240+(J138*B240)+(J140*B240)</f>
        <v>24031.109063887659</v>
      </c>
      <c r="I240" s="49"/>
      <c r="J240" s="48">
        <f t="shared" si="7"/>
        <v>24031.109063887659</v>
      </c>
      <c r="K240" s="70"/>
      <c r="L240" s="48">
        <f t="shared" si="8"/>
        <v>4806.2218127775323</v>
      </c>
      <c r="M240" s="73">
        <v>-602</v>
      </c>
      <c r="N240" s="97">
        <f t="shared" si="9"/>
        <v>18622.887251110129</v>
      </c>
      <c r="O240" s="98">
        <f>N240/O139</f>
        <v>517.30242364194805</v>
      </c>
    </row>
    <row r="241" spans="1:15" x14ac:dyDescent="0.25">
      <c r="A241" s="99">
        <v>513</v>
      </c>
      <c r="B241" s="78">
        <v>57.13</v>
      </c>
      <c r="C241" s="96">
        <f>[1]Hoja1!N607</f>
        <v>28073.651801492855</v>
      </c>
      <c r="D241" s="48"/>
      <c r="E241" s="48">
        <v>28074</v>
      </c>
      <c r="F241" s="100"/>
      <c r="G241" s="49"/>
      <c r="H241" s="48">
        <f>F241+G241+(J138*B241)+(J140*B241)</f>
        <v>36503.516639720874</v>
      </c>
      <c r="I241" s="49"/>
      <c r="J241" s="48">
        <f t="shared" si="7"/>
        <v>36503.516639720874</v>
      </c>
      <c r="K241" s="70"/>
      <c r="L241" s="48">
        <f t="shared" si="8"/>
        <v>7300.7033279441748</v>
      </c>
      <c r="M241" s="48">
        <v>0</v>
      </c>
      <c r="N241" s="97">
        <f t="shared" si="9"/>
        <v>29202.813311776699</v>
      </c>
      <c r="O241" s="98">
        <f>N241/O139</f>
        <v>811.18925866046391</v>
      </c>
    </row>
    <row r="242" spans="1:15" x14ac:dyDescent="0.25">
      <c r="A242" s="99">
        <v>514</v>
      </c>
      <c r="B242" s="78">
        <v>34.229999999999997</v>
      </c>
      <c r="C242" s="96">
        <f>[1]Hoja1!N608</f>
        <v>16805.211467969544</v>
      </c>
      <c r="D242" s="48"/>
      <c r="E242" s="48">
        <v>16820</v>
      </c>
      <c r="F242" s="78"/>
      <c r="G242" s="49"/>
      <c r="H242" s="48">
        <f>F242+G242+(J138*B242)+(J140*B242)</f>
        <v>21871.440129137849</v>
      </c>
      <c r="I242" s="49"/>
      <c r="J242" s="48">
        <f t="shared" si="7"/>
        <v>21871.440129137849</v>
      </c>
      <c r="K242" s="70"/>
      <c r="L242" s="48">
        <f t="shared" si="8"/>
        <v>4374.28802582757</v>
      </c>
      <c r="M242" s="48">
        <v>-15</v>
      </c>
      <c r="N242" s="97">
        <f t="shared" si="9"/>
        <v>17482.15210331028</v>
      </c>
      <c r="O242" s="98">
        <f>N242/O139</f>
        <v>485.61533620306335</v>
      </c>
    </row>
    <row r="243" spans="1:15" x14ac:dyDescent="0.25">
      <c r="A243" s="99">
        <v>515</v>
      </c>
      <c r="B243" s="78">
        <v>35.43</v>
      </c>
      <c r="C243" s="96">
        <f>[1]Hoja1!N609</f>
        <v>17404.701791123607</v>
      </c>
      <c r="D243" s="73"/>
      <c r="E243" s="48">
        <f>15300+2100</f>
        <v>17400</v>
      </c>
      <c r="F243" s="100"/>
      <c r="G243" s="49"/>
      <c r="H243" s="48">
        <f>F243+G243+(J138*B243)+(J140*B243)</f>
        <v>22638.186496504648</v>
      </c>
      <c r="I243" s="49"/>
      <c r="J243" s="48">
        <f t="shared" si="7"/>
        <v>22638.186496504648</v>
      </c>
      <c r="K243" s="70"/>
      <c r="L243" s="48">
        <f t="shared" si="8"/>
        <v>4527.637299300929</v>
      </c>
      <c r="M243" s="48">
        <v>4</v>
      </c>
      <c r="N243" s="97">
        <f t="shared" si="9"/>
        <v>18114.54919720372</v>
      </c>
      <c r="O243" s="98">
        <f>N243/O139</f>
        <v>503.1819221445478</v>
      </c>
    </row>
    <row r="244" spans="1:15" x14ac:dyDescent="0.25">
      <c r="A244" s="99">
        <v>516</v>
      </c>
      <c r="B244" s="78">
        <v>64.19</v>
      </c>
      <c r="C244" s="96">
        <f>[1]Hoja1!N610</f>
        <v>31772.819869382562</v>
      </c>
      <c r="D244" s="48"/>
      <c r="E244" s="48">
        <v>31773</v>
      </c>
      <c r="F244" s="100"/>
      <c r="G244" s="49">
        <f>I139*1</f>
        <v>300</v>
      </c>
      <c r="H244" s="48">
        <f>F244+G244+(J138*B244)+(J140*B244)</f>
        <v>41314.54110106219</v>
      </c>
      <c r="I244" s="49"/>
      <c r="J244" s="48">
        <f t="shared" si="7"/>
        <v>41314.54110106219</v>
      </c>
      <c r="K244" s="70"/>
      <c r="L244" s="48">
        <f t="shared" si="8"/>
        <v>8262.9082202124391</v>
      </c>
      <c r="M244" s="48">
        <v>0</v>
      </c>
      <c r="N244" s="97">
        <f t="shared" si="9"/>
        <v>33051.632880849749</v>
      </c>
      <c r="O244" s="98">
        <f>N244/O139</f>
        <v>918.10091335693744</v>
      </c>
    </row>
    <row r="245" spans="1:15" x14ac:dyDescent="0.25">
      <c r="A245" s="99">
        <v>517</v>
      </c>
      <c r="B245" s="78">
        <v>62.48</v>
      </c>
      <c r="C245" s="96">
        <f>[1]Hoja1!N611</f>
        <v>36816.175023475662</v>
      </c>
      <c r="D245" s="48"/>
      <c r="E245" s="48">
        <f>1052*35</f>
        <v>36820</v>
      </c>
      <c r="F245" s="72">
        <f>O138*B245*13</f>
        <v>7012.2983461362637</v>
      </c>
      <c r="G245" s="49"/>
      <c r="H245" s="48">
        <f>F245+G245+(J138*B245)+(J140*B245)</f>
        <v>46934.225873700765</v>
      </c>
      <c r="I245" s="49"/>
      <c r="J245" s="48">
        <f t="shared" si="7"/>
        <v>46934.225873700765</v>
      </c>
      <c r="K245" s="70"/>
      <c r="L245" s="48">
        <f t="shared" si="8"/>
        <v>9386.8451747401523</v>
      </c>
      <c r="M245" s="48">
        <v>-4</v>
      </c>
      <c r="N245" s="97">
        <f t="shared" si="9"/>
        <v>37543.380698960609</v>
      </c>
      <c r="O245" s="98">
        <f>N245/O139</f>
        <v>1042.8716860822392</v>
      </c>
    </row>
    <row r="246" spans="1:15" x14ac:dyDescent="0.25">
      <c r="A246" s="99">
        <v>518</v>
      </c>
      <c r="B246" s="78">
        <v>38.630000000000003</v>
      </c>
      <c r="C246" s="96">
        <f>[1]Hoja1!N612</f>
        <v>22762.625498669415</v>
      </c>
      <c r="D246" s="48"/>
      <c r="E246" s="48">
        <v>22763</v>
      </c>
      <c r="F246" s="72">
        <f>O138*B246*13</f>
        <v>4335.5487373758624</v>
      </c>
      <c r="G246" s="49"/>
      <c r="H246" s="48">
        <f>F246+G246+(J138*B246)+(J140*B246)</f>
        <v>29018.392213525301</v>
      </c>
      <c r="I246" s="49"/>
      <c r="J246" s="48">
        <f t="shared" si="7"/>
        <v>29018.392213525301</v>
      </c>
      <c r="K246" s="70"/>
      <c r="L246" s="48">
        <f t="shared" si="8"/>
        <v>5803.6784427050607</v>
      </c>
      <c r="M246" s="48">
        <v>-1</v>
      </c>
      <c r="N246" s="97">
        <f t="shared" si="9"/>
        <v>23213.713770820243</v>
      </c>
      <c r="O246" s="98">
        <f>N246/O139</f>
        <v>644.82538252278448</v>
      </c>
    </row>
    <row r="247" spans="1:15" x14ac:dyDescent="0.25">
      <c r="A247" s="99">
        <v>601</v>
      </c>
      <c r="B247" s="78">
        <v>39.200000000000003</v>
      </c>
      <c r="C247" s="96">
        <f>[1]Hoja1!N613</f>
        <v>23338.496493601888</v>
      </c>
      <c r="D247" s="73"/>
      <c r="E247" s="48">
        <v>23338</v>
      </c>
      <c r="F247" s="72">
        <f>O138*B247*13</f>
        <v>4399.5213695349166</v>
      </c>
      <c r="G247" s="49">
        <f>I139*1</f>
        <v>300</v>
      </c>
      <c r="H247" s="48">
        <f>F247+G247+(J138*B247)+(J140*B247)</f>
        <v>29746.569370183584</v>
      </c>
      <c r="I247" s="49"/>
      <c r="J247" s="48">
        <f t="shared" si="7"/>
        <v>29746.569370183584</v>
      </c>
      <c r="K247" s="70"/>
      <c r="L247" s="48">
        <f t="shared" si="8"/>
        <v>5949.3138740367167</v>
      </c>
      <c r="M247" s="48">
        <v>1</v>
      </c>
      <c r="N247" s="97">
        <f t="shared" si="9"/>
        <v>23798.255496146867</v>
      </c>
      <c r="O247" s="98">
        <f>N247/O139</f>
        <v>661.06265267074627</v>
      </c>
    </row>
    <row r="248" spans="1:15" x14ac:dyDescent="0.25">
      <c r="A248" s="99">
        <v>602</v>
      </c>
      <c r="B248" s="78">
        <v>65.569999999999993</v>
      </c>
      <c r="C248" s="96">
        <f>[1]Hoja1!N614</f>
        <v>19260.733741009732</v>
      </c>
      <c r="D248" s="73"/>
      <c r="E248" s="48">
        <f>24000+24000+24000</f>
        <v>72000</v>
      </c>
      <c r="F248" s="100"/>
      <c r="G248" s="49"/>
      <c r="H248" s="48">
        <f>F248+G248+(J138*B248)+(J140*B248)</f>
        <v>41896.299423534001</v>
      </c>
      <c r="I248" s="49"/>
      <c r="J248" s="48">
        <f t="shared" si="7"/>
        <v>41896.299423534001</v>
      </c>
      <c r="K248" s="70"/>
      <c r="L248" s="48">
        <f t="shared" si="8"/>
        <v>8379.2598847068002</v>
      </c>
      <c r="M248" s="48">
        <v>-52739</v>
      </c>
      <c r="N248" s="97">
        <f t="shared" si="9"/>
        <v>-19221.960461172799</v>
      </c>
      <c r="O248" s="98">
        <f>N248/O139</f>
        <v>-533.94334614368881</v>
      </c>
    </row>
    <row r="249" spans="1:15" x14ac:dyDescent="0.25">
      <c r="A249" s="99">
        <v>603</v>
      </c>
      <c r="B249" s="78">
        <v>62.43</v>
      </c>
      <c r="C249" s="96">
        <f>[1]Hoja1!N615</f>
        <v>30908.234062089945</v>
      </c>
      <c r="D249" s="73"/>
      <c r="E249" s="48">
        <v>30908</v>
      </c>
      <c r="F249" s="100"/>
      <c r="G249" s="49">
        <f>I139*1</f>
        <v>300</v>
      </c>
      <c r="H249" s="48">
        <f>F249+G249+(J138*B249)+(J140*B249)</f>
        <v>40189.979762257557</v>
      </c>
      <c r="I249" s="49"/>
      <c r="J249" s="48">
        <f t="shared" si="7"/>
        <v>40189.979762257557</v>
      </c>
      <c r="K249" s="70"/>
      <c r="L249" s="48">
        <f t="shared" si="8"/>
        <v>8037.9959524515107</v>
      </c>
      <c r="M249" s="48">
        <v>0</v>
      </c>
      <c r="N249" s="97">
        <f t="shared" si="9"/>
        <v>32151.983809806046</v>
      </c>
      <c r="O249" s="98">
        <f>N249/O139</f>
        <v>893.11066138350134</v>
      </c>
    </row>
    <row r="250" spans="1:15" x14ac:dyDescent="0.25">
      <c r="A250" s="99">
        <v>604</v>
      </c>
      <c r="B250" s="78">
        <v>35.57</v>
      </c>
      <c r="C250" s="96">
        <f>[1]Hoja1!N616</f>
        <v>17052.475662158249</v>
      </c>
      <c r="D250" s="48"/>
      <c r="E250" s="48">
        <v>17100</v>
      </c>
      <c r="F250" s="100"/>
      <c r="G250" s="49"/>
      <c r="H250" s="48">
        <f>F250+G250+(J138*B250)+(J140*B250)</f>
        <v>22727.640239364107</v>
      </c>
      <c r="I250" s="49"/>
      <c r="J250" s="48">
        <f t="shared" si="7"/>
        <v>22727.640239364107</v>
      </c>
      <c r="K250" s="70"/>
      <c r="L250" s="48">
        <f t="shared" si="8"/>
        <v>4545.5280478728209</v>
      </c>
      <c r="M250" s="48">
        <v>-48</v>
      </c>
      <c r="N250" s="97">
        <f t="shared" si="9"/>
        <v>18134.112191491287</v>
      </c>
      <c r="O250" s="98">
        <f>N250/O139</f>
        <v>503.72533865253575</v>
      </c>
    </row>
    <row r="251" spans="1:15" x14ac:dyDescent="0.25">
      <c r="A251" s="99">
        <v>605</v>
      </c>
      <c r="B251" s="78">
        <v>69.86</v>
      </c>
      <c r="C251" s="96">
        <f>[1]Hoja1!N617</f>
        <v>41164.820536811938</v>
      </c>
      <c r="D251" s="48"/>
      <c r="E251" s="48">
        <v>41165</v>
      </c>
      <c r="F251" s="72">
        <f>O138*B251*13</f>
        <v>7840.5755835640111</v>
      </c>
      <c r="G251" s="49"/>
      <c r="H251" s="48">
        <f>F251+G251+(J138*B251)+(J140*B251)</f>
        <v>52477.993270434308</v>
      </c>
      <c r="I251" s="49"/>
      <c r="J251" s="48">
        <f t="shared" si="7"/>
        <v>52477.993270434308</v>
      </c>
      <c r="K251" s="70"/>
      <c r="L251" s="48">
        <f t="shared" si="8"/>
        <v>10495.598654086862</v>
      </c>
      <c r="M251" s="48">
        <v>0</v>
      </c>
      <c r="N251" s="97">
        <f t="shared" si="9"/>
        <v>41982.394616347447</v>
      </c>
      <c r="O251" s="98">
        <f>N251/O139</f>
        <v>1166.1776282318735</v>
      </c>
    </row>
    <row r="252" spans="1:15" x14ac:dyDescent="0.25">
      <c r="A252" s="99">
        <v>606</v>
      </c>
      <c r="B252" s="78">
        <v>88.25</v>
      </c>
      <c r="C252" s="96">
        <f>[1]Hoja1!N618</f>
        <v>43591.100848621456</v>
      </c>
      <c r="D252" s="73"/>
      <c r="E252" s="48">
        <v>43591</v>
      </c>
      <c r="F252" s="100"/>
      <c r="G252" s="49">
        <f>I139*1</f>
        <v>300</v>
      </c>
      <c r="H252" s="48">
        <f>F252+G252+(J138*B252)+(J140*B252)</f>
        <v>56687.805766766447</v>
      </c>
      <c r="I252" s="49"/>
      <c r="J252" s="48">
        <f t="shared" si="7"/>
        <v>56687.805766766447</v>
      </c>
      <c r="K252" s="70"/>
      <c r="L252" s="48">
        <f t="shared" si="8"/>
        <v>11337.56115335329</v>
      </c>
      <c r="M252" s="48">
        <v>0</v>
      </c>
      <c r="N252" s="97">
        <f t="shared" si="9"/>
        <v>45350.244613413161</v>
      </c>
      <c r="O252" s="98">
        <f>N252/O139</f>
        <v>1259.7290170392544</v>
      </c>
    </row>
    <row r="253" spans="1:15" x14ac:dyDescent="0.25">
      <c r="A253" s="99">
        <v>607</v>
      </c>
      <c r="B253" s="78">
        <v>58.57</v>
      </c>
      <c r="C253" s="96">
        <f>[1]Hoja1!N619</f>
        <v>28772.040189277719</v>
      </c>
      <c r="D253" s="48"/>
      <c r="E253" s="48">
        <v>28944</v>
      </c>
      <c r="F253" s="100"/>
      <c r="G253" s="49"/>
      <c r="H253" s="48">
        <f>F253+G253+(J138*B253)+(J140*B253)</f>
        <v>37423.612280561028</v>
      </c>
      <c r="I253" s="49"/>
      <c r="J253" s="48">
        <f t="shared" si="7"/>
        <v>37423.612280561028</v>
      </c>
      <c r="K253" s="70"/>
      <c r="L253" s="48">
        <f t="shared" si="8"/>
        <v>7484.7224561122057</v>
      </c>
      <c r="M253" s="48">
        <v>-172</v>
      </c>
      <c r="N253" s="97">
        <f t="shared" si="9"/>
        <v>29766.889824448823</v>
      </c>
      <c r="O253" s="98">
        <f>N253/O139</f>
        <v>826.85805067913395</v>
      </c>
    </row>
    <row r="254" spans="1:15" x14ac:dyDescent="0.25">
      <c r="A254" s="99">
        <v>608</v>
      </c>
      <c r="B254" s="78">
        <v>65.760000000000005</v>
      </c>
      <c r="C254" s="96">
        <f>[1]Hoja1!N620</f>
        <v>79327.069708842464</v>
      </c>
      <c r="D254" s="73"/>
      <c r="E254" s="48">
        <f>1080*31.9+3882+8664</f>
        <v>46998</v>
      </c>
      <c r="F254" s="100"/>
      <c r="G254" s="49"/>
      <c r="H254" s="48">
        <f>F254+G254+(J138*B254)+(J140*B254)</f>
        <v>42017.700931700419</v>
      </c>
      <c r="I254" s="49"/>
      <c r="J254" s="48">
        <f t="shared" si="7"/>
        <v>42017.700931700419</v>
      </c>
      <c r="K254" s="70"/>
      <c r="L254" s="48">
        <f t="shared" si="8"/>
        <v>8403.5401863400839</v>
      </c>
      <c r="M254" s="48">
        <v>40424</v>
      </c>
      <c r="N254" s="97">
        <f t="shared" si="9"/>
        <v>74038.160745360336</v>
      </c>
      <c r="O254" s="98">
        <f>N254/O139</f>
        <v>2056.6155762600092</v>
      </c>
    </row>
    <row r="255" spans="1:15" x14ac:dyDescent="0.25">
      <c r="A255" s="99">
        <v>609</v>
      </c>
      <c r="B255" s="78">
        <v>37.9</v>
      </c>
      <c r="C255" s="96">
        <f>[1]Hoja1!N621</f>
        <v>18618.069372949045</v>
      </c>
      <c r="D255" s="48"/>
      <c r="E255" s="48">
        <v>18618</v>
      </c>
      <c r="F255" s="100"/>
      <c r="G255" s="49"/>
      <c r="H255" s="48">
        <f>F255+G255+(J138*B255)+(J140*B255)</f>
        <v>24216.40610266797</v>
      </c>
      <c r="I255" s="49"/>
      <c r="J255" s="48">
        <f t="shared" si="7"/>
        <v>24216.40610266797</v>
      </c>
      <c r="K255" s="70"/>
      <c r="L255" s="48">
        <f t="shared" si="8"/>
        <v>4843.281220533594</v>
      </c>
      <c r="M255" s="48">
        <v>0</v>
      </c>
      <c r="N255" s="97">
        <f t="shared" si="9"/>
        <v>19373.124882134376</v>
      </c>
      <c r="O255" s="98">
        <f>N255/O139</f>
        <v>538.14235783706602</v>
      </c>
    </row>
    <row r="256" spans="1:15" x14ac:dyDescent="0.25">
      <c r="A256" s="99">
        <v>610</v>
      </c>
      <c r="B256" s="102">
        <v>58.1</v>
      </c>
      <c r="C256" s="96">
        <f>[1]Hoja1!N622</f>
        <v>33383.271588731368</v>
      </c>
      <c r="D256" s="48"/>
      <c r="E256" s="48">
        <v>33400</v>
      </c>
      <c r="F256" s="72">
        <f>O138*B256*13</f>
        <v>6520.7191727035361</v>
      </c>
      <c r="G256" s="49"/>
      <c r="H256" s="48">
        <f>F256+G256+(J138*B256)+(J140*B256)</f>
        <v>43644.022459379237</v>
      </c>
      <c r="I256" s="49"/>
      <c r="J256" s="48">
        <f t="shared" si="7"/>
        <v>43644.022459379237</v>
      </c>
      <c r="K256" s="70"/>
      <c r="L256" s="48">
        <f t="shared" si="8"/>
        <v>8728.804491875846</v>
      </c>
      <c r="M256" s="48">
        <v>254</v>
      </c>
      <c r="N256" s="97">
        <f t="shared" si="9"/>
        <v>35169.217967503391</v>
      </c>
      <c r="O256" s="98">
        <f>N256/O139</f>
        <v>976.9227213195386</v>
      </c>
    </row>
    <row r="257" spans="1:15" x14ac:dyDescent="0.25">
      <c r="A257" s="99">
        <v>611</v>
      </c>
      <c r="B257" s="78">
        <v>64.260000000000005</v>
      </c>
      <c r="C257" s="96">
        <f>[1]Hoja1!N623</f>
        <v>-1483.7931951001119</v>
      </c>
      <c r="D257" s="73"/>
      <c r="E257" s="48">
        <v>0</v>
      </c>
      <c r="F257" s="100"/>
      <c r="G257" s="49"/>
      <c r="H257" s="48">
        <f>F257+G257+(J138*B257)+(J140*B257)</f>
        <v>41059.267972491922</v>
      </c>
      <c r="I257" s="49"/>
      <c r="J257" s="48">
        <f t="shared" si="7"/>
        <v>41059.267972491922</v>
      </c>
      <c r="K257" s="70"/>
      <c r="L257" s="48">
        <f t="shared" si="8"/>
        <v>8211.8535944983832</v>
      </c>
      <c r="M257" s="48">
        <v>-1483</v>
      </c>
      <c r="N257" s="97">
        <f t="shared" si="9"/>
        <v>31364.41437799354</v>
      </c>
      <c r="O257" s="98">
        <f>N257/O139</f>
        <v>871.23373272204276</v>
      </c>
    </row>
    <row r="258" spans="1:15" x14ac:dyDescent="0.25">
      <c r="A258" s="99">
        <v>612</v>
      </c>
      <c r="B258" s="78">
        <v>38.15</v>
      </c>
      <c r="C258" s="96">
        <f>[1]Hoja1!N624</f>
        <v>18745.879856939475</v>
      </c>
      <c r="D258" s="73"/>
      <c r="E258" s="48">
        <v>18700</v>
      </c>
      <c r="F258" s="100"/>
      <c r="G258" s="49"/>
      <c r="H258" s="48">
        <f>F258+G258+(J138*B258)+(J140*B258)</f>
        <v>24376.144929202717</v>
      </c>
      <c r="I258" s="49"/>
      <c r="J258" s="48">
        <f t="shared" si="7"/>
        <v>24376.144929202717</v>
      </c>
      <c r="K258" s="70"/>
      <c r="L258" s="48">
        <f t="shared" si="8"/>
        <v>4875.2289858405429</v>
      </c>
      <c r="M258" s="48">
        <v>46</v>
      </c>
      <c r="N258" s="97">
        <f t="shared" si="9"/>
        <v>19546.915943362175</v>
      </c>
      <c r="O258" s="98">
        <f>N258/O139</f>
        <v>542.96988731561601</v>
      </c>
    </row>
    <row r="259" spans="1:15" x14ac:dyDescent="0.25">
      <c r="A259" s="99">
        <v>613</v>
      </c>
      <c r="B259" s="78">
        <v>57.88</v>
      </c>
      <c r="C259" s="96">
        <f>[1]Hoja1!N625</f>
        <v>28215.083253464138</v>
      </c>
      <c r="D259" s="48"/>
      <c r="E259" s="48">
        <v>28300</v>
      </c>
      <c r="F259" s="100"/>
      <c r="G259" s="49">
        <v>300</v>
      </c>
      <c r="H259" s="48">
        <f>F259+G259+(J138*B259)+(J140*B259)</f>
        <v>37282.733119325123</v>
      </c>
      <c r="I259" s="49"/>
      <c r="J259" s="48">
        <f t="shared" si="7"/>
        <v>37282.733119325123</v>
      </c>
      <c r="K259" s="70"/>
      <c r="L259" s="48">
        <f t="shared" si="8"/>
        <v>7456.5466238650251</v>
      </c>
      <c r="M259" s="48">
        <v>-85</v>
      </c>
      <c r="N259" s="97">
        <f t="shared" si="9"/>
        <v>29741.186495460097</v>
      </c>
      <c r="O259" s="98">
        <f>N259/O139</f>
        <v>826.14406931833605</v>
      </c>
    </row>
    <row r="260" spans="1:15" x14ac:dyDescent="0.25">
      <c r="A260" s="99">
        <v>614</v>
      </c>
      <c r="B260" s="78">
        <v>34.03</v>
      </c>
      <c r="C260" s="96">
        <f>[1]Hoja1!N626</f>
        <v>20053.087644828374</v>
      </c>
      <c r="D260" s="48"/>
      <c r="E260" s="48">
        <v>20053</v>
      </c>
      <c r="F260" s="72">
        <f>O138*B260*13</f>
        <v>3819.2783725834993</v>
      </c>
      <c r="G260" s="49"/>
      <c r="H260" s="48">
        <f>F260+G260+(J138*B260)+(J140*B260)</f>
        <v>25562.927440493553</v>
      </c>
      <c r="I260" s="49"/>
      <c r="J260" s="48">
        <f t="shared" si="7"/>
        <v>25562.927440493553</v>
      </c>
      <c r="K260" s="70"/>
      <c r="L260" s="48">
        <f t="shared" si="8"/>
        <v>5112.5854880987108</v>
      </c>
      <c r="M260" s="48">
        <v>0</v>
      </c>
      <c r="N260" s="97">
        <f t="shared" si="9"/>
        <v>20450.341952394843</v>
      </c>
      <c r="O260" s="98">
        <f>N260/O139</f>
        <v>568.06505423319004</v>
      </c>
    </row>
    <row r="261" spans="1:15" x14ac:dyDescent="0.25">
      <c r="A261" s="99">
        <v>615</v>
      </c>
      <c r="B261" s="78">
        <v>35.119999999999997</v>
      </c>
      <c r="C261" s="96">
        <f>[1]Hoja1!N627</f>
        <v>17252.416790975472</v>
      </c>
      <c r="D261" s="48"/>
      <c r="E261" s="48">
        <v>17300</v>
      </c>
      <c r="F261" s="100"/>
      <c r="G261" s="49"/>
      <c r="H261" s="48">
        <f>F261+G261+(J138*B261)+(J140*B261)</f>
        <v>22440.110351601557</v>
      </c>
      <c r="I261" s="49"/>
      <c r="J261" s="48">
        <f t="shared" si="7"/>
        <v>22440.110351601557</v>
      </c>
      <c r="K261" s="70"/>
      <c r="L261" s="48">
        <f t="shared" si="8"/>
        <v>4488.0220703203113</v>
      </c>
      <c r="M261" s="48">
        <v>-47</v>
      </c>
      <c r="N261" s="97">
        <f t="shared" si="9"/>
        <v>17905.088281281245</v>
      </c>
      <c r="O261" s="98">
        <f>N261/O139</f>
        <v>497.36356336892345</v>
      </c>
    </row>
    <row r="262" spans="1:15" x14ac:dyDescent="0.25">
      <c r="A262" s="99">
        <v>616</v>
      </c>
      <c r="B262" s="78">
        <v>64.37</v>
      </c>
      <c r="C262" s="96">
        <f>[1]Hoja1!N628</f>
        <v>33427.24341785568</v>
      </c>
      <c r="D262" s="73"/>
      <c r="E262" s="48">
        <f>550*35+500*35</f>
        <v>36750</v>
      </c>
      <c r="F262" s="100"/>
      <c r="G262" s="49"/>
      <c r="H262" s="48">
        <f>F262+G262+(J138*B262)+(J140*B262)</f>
        <v>41129.553056167213</v>
      </c>
      <c r="I262" s="49"/>
      <c r="J262" s="48">
        <f t="shared" si="7"/>
        <v>41129.553056167213</v>
      </c>
      <c r="K262" s="70"/>
      <c r="L262" s="48">
        <f t="shared" si="8"/>
        <v>8225.910611233443</v>
      </c>
      <c r="M262" s="73">
        <v>5382</v>
      </c>
      <c r="N262" s="97">
        <f t="shared" si="9"/>
        <v>38285.642444933772</v>
      </c>
      <c r="O262" s="98">
        <f>N262/O139</f>
        <v>1063.490067914827</v>
      </c>
    </row>
    <row r="263" spans="1:15" x14ac:dyDescent="0.25">
      <c r="A263" s="99">
        <v>617</v>
      </c>
      <c r="B263" s="78">
        <v>62.51</v>
      </c>
      <c r="C263" s="96">
        <f>[1]Hoja1!N629</f>
        <v>30708.533416966886</v>
      </c>
      <c r="D263" s="73"/>
      <c r="E263" s="48">
        <f>877*35</f>
        <v>30695</v>
      </c>
      <c r="F263" s="78"/>
      <c r="G263" s="49"/>
      <c r="H263" s="48">
        <f>F263+G263+(J138*B263)+(J140*B263)</f>
        <v>39941.096186748669</v>
      </c>
      <c r="I263" s="49"/>
      <c r="J263" s="48">
        <f t="shared" si="7"/>
        <v>39941.096186748669</v>
      </c>
      <c r="K263" s="70"/>
      <c r="L263" s="48">
        <f t="shared" si="8"/>
        <v>7988.2192373497346</v>
      </c>
      <c r="M263" s="48">
        <v>13</v>
      </c>
      <c r="N263" s="97">
        <f t="shared" si="9"/>
        <v>31965.876949398935</v>
      </c>
      <c r="O263" s="98">
        <f>N263/O139</f>
        <v>887.9410263721926</v>
      </c>
    </row>
    <row r="264" spans="1:15" x14ac:dyDescent="0.25">
      <c r="A264" s="99">
        <v>618</v>
      </c>
      <c r="B264" s="78">
        <v>38.65</v>
      </c>
      <c r="C264" s="96">
        <f>[1]Hoja1!N630</f>
        <v>18987.500824920331</v>
      </c>
      <c r="D264" s="73"/>
      <c r="E264" s="48">
        <v>18988</v>
      </c>
      <c r="F264" s="100"/>
      <c r="G264" s="49"/>
      <c r="H264" s="48">
        <f>F264+G264+(J138*B264)+(J140*B264)</f>
        <v>24695.622582272215</v>
      </c>
      <c r="I264" s="49"/>
      <c r="J264" s="48">
        <f t="shared" si="7"/>
        <v>24695.622582272215</v>
      </c>
      <c r="K264" s="70"/>
      <c r="L264" s="48">
        <f t="shared" si="8"/>
        <v>4939.1245164544434</v>
      </c>
      <c r="M264" s="73">
        <v>-1</v>
      </c>
      <c r="N264" s="97">
        <f t="shared" si="9"/>
        <v>19755.498065817774</v>
      </c>
      <c r="O264" s="98">
        <f>N264/O139</f>
        <v>548.76383516160479</v>
      </c>
    </row>
    <row r="265" spans="1:15" x14ac:dyDescent="0.25">
      <c r="A265" s="99">
        <v>701</v>
      </c>
      <c r="B265" s="78">
        <v>38.909999999999997</v>
      </c>
      <c r="C265" s="96">
        <f>[1]Hoja1!N631</f>
        <v>30554.39682147323</v>
      </c>
      <c r="D265" s="48"/>
      <c r="E265" s="48">
        <f>950*35</f>
        <v>33250</v>
      </c>
      <c r="F265" s="72">
        <f>O138*B265*39</f>
        <v>13100.921670046189</v>
      </c>
      <c r="G265" s="49"/>
      <c r="H265" s="48">
        <f>F265+G265+(J138*B265)+(J140*B265)</f>
        <v>37962.672631914538</v>
      </c>
      <c r="I265" s="49"/>
      <c r="J265" s="48">
        <f t="shared" si="7"/>
        <v>37962.672631914538</v>
      </c>
      <c r="K265" s="70"/>
      <c r="L265" s="48">
        <f t="shared" si="8"/>
        <v>7592.5345263829086</v>
      </c>
      <c r="M265" s="73">
        <v>-2695</v>
      </c>
      <c r="N265" s="97">
        <f t="shared" si="9"/>
        <v>27675.138105531631</v>
      </c>
      <c r="O265" s="98">
        <f>N265/O139</f>
        <v>768.75383626476753</v>
      </c>
    </row>
    <row r="266" spans="1:15" x14ac:dyDescent="0.25">
      <c r="A266" s="99">
        <v>702</v>
      </c>
      <c r="B266" s="78">
        <v>63.5</v>
      </c>
      <c r="C266" s="96">
        <f>[1]Hoja1!N632</f>
        <v>9917.8629335689839</v>
      </c>
      <c r="D266" s="48"/>
      <c r="E266" s="48">
        <v>18000</v>
      </c>
      <c r="F266" s="100"/>
      <c r="G266" s="49">
        <f>I139*1</f>
        <v>300</v>
      </c>
      <c r="H266" s="48">
        <f>F266+G266+(J138*B266)+(J140*B266)</f>
        <v>40873.661939826285</v>
      </c>
      <c r="I266" s="49"/>
      <c r="J266" s="48">
        <f t="shared" si="7"/>
        <v>40873.661939826285</v>
      </c>
      <c r="K266" s="70"/>
      <c r="L266" s="48">
        <f t="shared" si="8"/>
        <v>8174.7323879652567</v>
      </c>
      <c r="M266" s="48">
        <v>-8082</v>
      </c>
      <c r="N266" s="97">
        <f t="shared" si="9"/>
        <v>24616.929551861027</v>
      </c>
      <c r="O266" s="98">
        <f>N266/O139</f>
        <v>683.80359866280628</v>
      </c>
    </row>
    <row r="267" spans="1:15" x14ac:dyDescent="0.25">
      <c r="A267" s="99">
        <v>703</v>
      </c>
      <c r="B267" s="78">
        <v>61.98</v>
      </c>
      <c r="C267" s="96">
        <f>[1]Hoja1!N633</f>
        <v>30514.175190907168</v>
      </c>
      <c r="D267" s="48"/>
      <c r="E267" s="48">
        <v>30520</v>
      </c>
      <c r="F267" s="100"/>
      <c r="G267" s="49">
        <f>I139*1</f>
        <v>300</v>
      </c>
      <c r="H267" s="48">
        <f>F267+G267+(J138*B267)+(J140*B267)</f>
        <v>39902.449874495003</v>
      </c>
      <c r="I267" s="49"/>
      <c r="J267" s="48">
        <f t="shared" si="7"/>
        <v>39902.449874495003</v>
      </c>
      <c r="K267" s="70"/>
      <c r="L267" s="48">
        <f t="shared" si="8"/>
        <v>7980.489974899001</v>
      </c>
      <c r="M267" s="48">
        <v>-6</v>
      </c>
      <c r="N267" s="97">
        <f t="shared" si="9"/>
        <v>31915.959899596004</v>
      </c>
      <c r="O267" s="98">
        <f>N267/O139</f>
        <v>886.55444165544452</v>
      </c>
    </row>
    <row r="268" spans="1:15" x14ac:dyDescent="0.25">
      <c r="A268" s="99">
        <v>704</v>
      </c>
      <c r="B268" s="78">
        <v>36.04</v>
      </c>
      <c r="C268" s="96">
        <f>[1]Hoja1!N634</f>
        <v>17704.359372060255</v>
      </c>
      <c r="D268" s="48"/>
      <c r="E268" s="48">
        <f>506*35</f>
        <v>17710</v>
      </c>
      <c r="F268" s="100"/>
      <c r="G268" s="49"/>
      <c r="H268" s="48">
        <f>F268+G268+(J138*B268)+(J140*B268)</f>
        <v>23027.949233249434</v>
      </c>
      <c r="I268" s="49"/>
      <c r="J268" s="48">
        <f t="shared" si="7"/>
        <v>23027.949233249434</v>
      </c>
      <c r="K268" s="70"/>
      <c r="L268" s="48">
        <f t="shared" si="8"/>
        <v>4605.5898466498875</v>
      </c>
      <c r="M268" s="48">
        <v>-5</v>
      </c>
      <c r="N268" s="97">
        <f t="shared" si="9"/>
        <v>18417.359386599546</v>
      </c>
      <c r="O268" s="98">
        <f>N268/O139</f>
        <v>511.59331629443182</v>
      </c>
    </row>
    <row r="269" spans="1:15" x14ac:dyDescent="0.25">
      <c r="A269" s="99">
        <v>705</v>
      </c>
      <c r="B269" s="78">
        <v>68.069999999999993</v>
      </c>
      <c r="C269" s="96">
        <f>[1]Hoja1!N635</f>
        <v>159814.83858091402</v>
      </c>
      <c r="D269" s="48"/>
      <c r="E269" s="48">
        <v>33500</v>
      </c>
      <c r="F269" s="100"/>
      <c r="G269" s="49"/>
      <c r="H269" s="48">
        <f>F269+G269+(J138*B269)+(J140*B269)</f>
        <v>43493.687688881488</v>
      </c>
      <c r="I269" s="49"/>
      <c r="J269" s="48">
        <f t="shared" si="7"/>
        <v>43493.687688881488</v>
      </c>
      <c r="K269" s="70"/>
      <c r="L269" s="48">
        <f t="shared" si="8"/>
        <v>8698.7375377762964</v>
      </c>
      <c r="M269" s="48">
        <v>134674</v>
      </c>
      <c r="N269" s="97">
        <f t="shared" si="9"/>
        <v>169468.95015110518</v>
      </c>
      <c r="O269" s="98">
        <f>N269/O139</f>
        <v>4707.4708375306991</v>
      </c>
    </row>
    <row r="270" spans="1:15" x14ac:dyDescent="0.25">
      <c r="A270" s="99">
        <v>706</v>
      </c>
      <c r="B270" s="78">
        <v>85.36</v>
      </c>
      <c r="C270" s="96">
        <f>[1]Hoja1!N636</f>
        <v>41959.411653692099</v>
      </c>
      <c r="D270" s="73"/>
      <c r="E270" s="48">
        <v>41959</v>
      </c>
      <c r="F270" s="100"/>
      <c r="G270" s="49">
        <f>I139*1</f>
        <v>300</v>
      </c>
      <c r="H270" s="48">
        <f>F270+G270+(J138*B270)+(J140*B270)</f>
        <v>54841.22493202475</v>
      </c>
      <c r="I270" s="49"/>
      <c r="J270" s="48">
        <f t="shared" ref="J270:J333" si="10">H270+I270</f>
        <v>54841.22493202475</v>
      </c>
      <c r="K270" s="48">
        <v>1551</v>
      </c>
      <c r="L270" s="48">
        <f t="shared" ref="L270:L333" si="11">SUM(J270)*20/100</f>
        <v>10968.244986404949</v>
      </c>
      <c r="M270" s="48">
        <v>1891</v>
      </c>
      <c r="N270" s="97">
        <f t="shared" ref="N270:N333" si="12">J270+K270-L270+M270</f>
        <v>47314.979945619802</v>
      </c>
      <c r="O270" s="98">
        <f>N270/O139</f>
        <v>1314.304998489439</v>
      </c>
    </row>
    <row r="271" spans="1:15" x14ac:dyDescent="0.25">
      <c r="A271" s="99">
        <v>707</v>
      </c>
      <c r="B271" s="78">
        <v>58.04</v>
      </c>
      <c r="C271" s="96">
        <f>[1]Hoja1!N637</f>
        <v>28511.681963218009</v>
      </c>
      <c r="D271" s="73"/>
      <c r="E271" s="48">
        <v>28512</v>
      </c>
      <c r="F271" s="100"/>
      <c r="G271" s="49"/>
      <c r="H271" s="48">
        <f>F271+G271+(J138*B271)+(J140*B271)</f>
        <v>37084.965968307362</v>
      </c>
      <c r="I271" s="49"/>
      <c r="J271" s="48">
        <f t="shared" si="10"/>
        <v>37084.965968307362</v>
      </c>
      <c r="K271" s="70"/>
      <c r="L271" s="48">
        <f t="shared" si="11"/>
        <v>7416.993193661473</v>
      </c>
      <c r="M271" s="48">
        <v>-1</v>
      </c>
      <c r="N271" s="97">
        <f t="shared" si="12"/>
        <v>29666.972774645888</v>
      </c>
      <c r="O271" s="98">
        <f>N271/O139</f>
        <v>824.08257707349685</v>
      </c>
    </row>
    <row r="272" spans="1:15" x14ac:dyDescent="0.25">
      <c r="A272" s="99">
        <v>708</v>
      </c>
      <c r="B272" s="78">
        <v>65.67</v>
      </c>
      <c r="C272" s="96">
        <f>[1]Hoja1!N638</f>
        <v>32499.857934605905</v>
      </c>
      <c r="D272" s="48"/>
      <c r="E272" s="48">
        <v>32500</v>
      </c>
      <c r="F272" s="100"/>
      <c r="G272" s="49">
        <f>I139</f>
        <v>300</v>
      </c>
      <c r="H272" s="48">
        <f>F272+G272+(J138*B272)+(J140*B272)</f>
        <v>42260.194954147904</v>
      </c>
      <c r="I272" s="49"/>
      <c r="J272" s="48">
        <f t="shared" si="10"/>
        <v>42260.194954147904</v>
      </c>
      <c r="K272" s="70"/>
      <c r="L272" s="48">
        <f t="shared" si="11"/>
        <v>8452.038990829582</v>
      </c>
      <c r="M272" s="48">
        <v>0</v>
      </c>
      <c r="N272" s="97">
        <f t="shared" si="12"/>
        <v>33808.155963318321</v>
      </c>
      <c r="O272" s="98">
        <f>N272/O139</f>
        <v>939.11544342550894</v>
      </c>
    </row>
    <row r="273" spans="1:15" x14ac:dyDescent="0.25">
      <c r="A273" s="99">
        <v>709</v>
      </c>
      <c r="B273" s="78">
        <v>37.799999999999997</v>
      </c>
      <c r="C273" s="96">
        <f>[1]Hoja1!N639</f>
        <v>18408.945179352875</v>
      </c>
      <c r="D273" s="48"/>
      <c r="E273" s="48">
        <v>18500</v>
      </c>
      <c r="F273" s="100"/>
      <c r="G273" s="49"/>
      <c r="H273" s="48">
        <f>F273+G273+(J138*B273)+(J140*B273)</f>
        <v>24152.510572054067</v>
      </c>
      <c r="I273" s="49"/>
      <c r="J273" s="48">
        <f t="shared" si="10"/>
        <v>24152.510572054067</v>
      </c>
      <c r="K273" s="70"/>
      <c r="L273" s="48">
        <f t="shared" si="11"/>
        <v>4830.5021144108141</v>
      </c>
      <c r="M273" s="48">
        <v>-91</v>
      </c>
      <c r="N273" s="97">
        <f t="shared" si="12"/>
        <v>19231.008457643253</v>
      </c>
      <c r="O273" s="98">
        <f>N273/O139</f>
        <v>534.19467937897923</v>
      </c>
    </row>
    <row r="274" spans="1:15" x14ac:dyDescent="0.25">
      <c r="A274" s="99">
        <v>710</v>
      </c>
      <c r="B274" s="78">
        <v>58.02</v>
      </c>
      <c r="C274" s="96">
        <f>[1]Hoja1!N640</f>
        <v>261021.04283694865</v>
      </c>
      <c r="D274" s="48"/>
      <c r="E274" s="48">
        <v>0</v>
      </c>
      <c r="F274" s="100"/>
      <c r="G274" s="49"/>
      <c r="H274" s="48">
        <f>F274+G274+(J138*B274)+(J140*B274)</f>
        <v>37072.186862184579</v>
      </c>
      <c r="I274" s="49">
        <f>H274*10/100</f>
        <v>3707.2186862184581</v>
      </c>
      <c r="J274" s="48">
        <f t="shared" si="10"/>
        <v>40779.40554840304</v>
      </c>
      <c r="K274" s="70"/>
      <c r="L274" s="48">
        <f t="shared" si="11"/>
        <v>8155.8811096806076</v>
      </c>
      <c r="M274" s="48">
        <v>293056</v>
      </c>
      <c r="N274" s="97">
        <f t="shared" si="12"/>
        <v>325679.52443872241</v>
      </c>
      <c r="O274" s="98">
        <f>N274/O139</f>
        <v>9046.6534566311784</v>
      </c>
    </row>
    <row r="275" spans="1:15" x14ac:dyDescent="0.25">
      <c r="A275" s="99">
        <v>711</v>
      </c>
      <c r="B275" s="78">
        <v>65.91</v>
      </c>
      <c r="C275" s="96">
        <f>[1]Hoja1!N641</f>
        <v>32617.755999236717</v>
      </c>
      <c r="D275" s="48"/>
      <c r="E275" s="48">
        <v>32618</v>
      </c>
      <c r="F275" s="100"/>
      <c r="G275" s="49">
        <f>I139*1</f>
        <v>300</v>
      </c>
      <c r="H275" s="103">
        <f>F275+G275+(J138*B275)+(J140*B275)</f>
        <v>42413.544227621256</v>
      </c>
      <c r="I275" s="49"/>
      <c r="J275" s="48">
        <f t="shared" si="10"/>
        <v>42413.544227621256</v>
      </c>
      <c r="K275" s="70"/>
      <c r="L275" s="48">
        <f t="shared" si="11"/>
        <v>8482.708845524252</v>
      </c>
      <c r="M275" s="48">
        <v>-1</v>
      </c>
      <c r="N275" s="97">
        <f t="shared" si="12"/>
        <v>33929.835382097008</v>
      </c>
      <c r="O275" s="98">
        <f>N275/O139</f>
        <v>942.49542728047243</v>
      </c>
    </row>
    <row r="276" spans="1:15" x14ac:dyDescent="0.25">
      <c r="A276" s="99">
        <v>712</v>
      </c>
      <c r="B276" s="78">
        <v>38.090000000000003</v>
      </c>
      <c r="C276" s="96">
        <f>[1]Hoja1!N642</f>
        <v>22444.431924522858</v>
      </c>
      <c r="D276" s="48"/>
      <c r="E276" s="73">
        <v>22500</v>
      </c>
      <c r="F276" s="72">
        <f>O138*B276*13</f>
        <v>4274.9430858567594</v>
      </c>
      <c r="G276" s="49"/>
      <c r="H276" s="48">
        <f>F276+G276+(J138*B276)+(J140*B276)</f>
        <v>28612.750696691139</v>
      </c>
      <c r="I276" s="49"/>
      <c r="J276" s="48">
        <f t="shared" si="10"/>
        <v>28612.750696691139</v>
      </c>
      <c r="K276" s="70"/>
      <c r="L276" s="48">
        <f t="shared" si="11"/>
        <v>5722.5501393382274</v>
      </c>
      <c r="M276" s="48">
        <v>-55</v>
      </c>
      <c r="N276" s="97">
        <f t="shared" si="12"/>
        <v>22835.20055735291</v>
      </c>
      <c r="O276" s="98">
        <f>N276/O139</f>
        <v>634.31112659313635</v>
      </c>
    </row>
    <row r="277" spans="1:15" x14ac:dyDescent="0.25">
      <c r="A277" s="99">
        <v>713</v>
      </c>
      <c r="B277" s="78">
        <v>57.38</v>
      </c>
      <c r="C277" s="96">
        <f>[1]Hoja1!N643</f>
        <v>28187.462285483278</v>
      </c>
      <c r="D277" s="48"/>
      <c r="E277" s="48">
        <v>28187</v>
      </c>
      <c r="F277" s="100"/>
      <c r="G277" s="49"/>
      <c r="H277" s="48">
        <f>F277+G277+(J138*B277)+(J140*B277)</f>
        <v>36663.255466255621</v>
      </c>
      <c r="I277" s="49"/>
      <c r="J277" s="48">
        <f t="shared" si="10"/>
        <v>36663.255466255621</v>
      </c>
      <c r="K277" s="70"/>
      <c r="L277" s="48">
        <f t="shared" si="11"/>
        <v>7332.6510932511246</v>
      </c>
      <c r="M277" s="48">
        <v>0</v>
      </c>
      <c r="N277" s="97">
        <f t="shared" si="12"/>
        <v>29330.604373004498</v>
      </c>
      <c r="O277" s="98">
        <f>N277/O139</f>
        <v>814.73901036123607</v>
      </c>
    </row>
    <row r="278" spans="1:15" x14ac:dyDescent="0.25">
      <c r="A278" s="99">
        <v>714</v>
      </c>
      <c r="B278" s="78">
        <v>34.51</v>
      </c>
      <c r="C278" s="96">
        <f>[1]Hoja1!N644</f>
        <v>17040.759210038828</v>
      </c>
      <c r="D278" s="48"/>
      <c r="E278" s="48">
        <v>21279</v>
      </c>
      <c r="F278" s="100"/>
      <c r="G278" s="49"/>
      <c r="H278" s="48">
        <f>F278+G278+(J138*B278)+(J140*B278)</f>
        <v>22050.347614856772</v>
      </c>
      <c r="I278" s="49"/>
      <c r="J278" s="48">
        <f t="shared" si="10"/>
        <v>22050.347614856772</v>
      </c>
      <c r="K278" s="70"/>
      <c r="L278" s="48">
        <f t="shared" si="11"/>
        <v>4410.0695229713547</v>
      </c>
      <c r="M278" s="48">
        <v>0</v>
      </c>
      <c r="N278" s="97">
        <f t="shared" si="12"/>
        <v>17640.278091885419</v>
      </c>
      <c r="O278" s="98">
        <f>N278/O139</f>
        <v>490.00772477459498</v>
      </c>
    </row>
    <row r="279" spans="1:15" x14ac:dyDescent="0.25">
      <c r="A279" s="99">
        <v>715</v>
      </c>
      <c r="B279" s="78">
        <v>35.409999999999997</v>
      </c>
      <c r="C279" s="96">
        <f>[1]Hoja1!N645</f>
        <v>17394.876952404371</v>
      </c>
      <c r="D279" s="48"/>
      <c r="E279" s="48">
        <f>497*35</f>
        <v>17395</v>
      </c>
      <c r="F279" s="100"/>
      <c r="G279" s="49"/>
      <c r="H279" s="48">
        <f>F279+G279+(J138*B279)+(J140*B279)</f>
        <v>22625.407390381864</v>
      </c>
      <c r="I279" s="49"/>
      <c r="J279" s="48">
        <f t="shared" si="10"/>
        <v>22625.407390381864</v>
      </c>
      <c r="K279" s="70"/>
      <c r="L279" s="48">
        <f t="shared" si="11"/>
        <v>4525.0814780763731</v>
      </c>
      <c r="M279" s="48">
        <v>-1</v>
      </c>
      <c r="N279" s="97">
        <f t="shared" si="12"/>
        <v>18099.325912305492</v>
      </c>
      <c r="O279" s="98">
        <f>N279/O139</f>
        <v>502.75905311959701</v>
      </c>
    </row>
    <row r="280" spans="1:15" x14ac:dyDescent="0.25">
      <c r="A280" s="99">
        <v>716</v>
      </c>
      <c r="B280" s="78">
        <v>64.39</v>
      </c>
      <c r="C280" s="96">
        <f>[1]Hoja1!N646</f>
        <v>38181.637480179226</v>
      </c>
      <c r="D280" s="73"/>
      <c r="E280" s="48">
        <f>1091*35</f>
        <v>38185</v>
      </c>
      <c r="F280" s="72">
        <f>O138*B280*13</f>
        <v>7226.6627802130924</v>
      </c>
      <c r="G280" s="49">
        <f>I139*1</f>
        <v>300</v>
      </c>
      <c r="H280" s="48">
        <f>F280+G280+(J138*B280)+(J140*B280)</f>
        <v>48668.994942503079</v>
      </c>
      <c r="I280" s="49"/>
      <c r="J280" s="48">
        <f t="shared" si="10"/>
        <v>48668.994942503079</v>
      </c>
      <c r="K280" s="70"/>
      <c r="L280" s="48">
        <f t="shared" si="11"/>
        <v>9733.7989885006155</v>
      </c>
      <c r="M280" s="48">
        <v>-3</v>
      </c>
      <c r="N280" s="97">
        <f t="shared" si="12"/>
        <v>38932.195954002462</v>
      </c>
      <c r="O280" s="98">
        <f>N280/O139</f>
        <v>1081.4498876111795</v>
      </c>
    </row>
    <row r="281" spans="1:15" x14ac:dyDescent="0.25">
      <c r="A281" s="99">
        <v>717</v>
      </c>
      <c r="B281" s="78">
        <v>62.15</v>
      </c>
      <c r="C281" s="96">
        <f>[1]Hoja1!N647</f>
        <v>30770.686320020664</v>
      </c>
      <c r="D281" s="48"/>
      <c r="E281" s="48">
        <v>30771</v>
      </c>
      <c r="F281" s="100"/>
      <c r="G281" s="49">
        <f>I139*1</f>
        <v>300</v>
      </c>
      <c r="H281" s="48">
        <f>F281+G281+(J138*B281)+(J140*B281)</f>
        <v>40011.072276538638</v>
      </c>
      <c r="I281" s="49"/>
      <c r="J281" s="48">
        <f t="shared" si="10"/>
        <v>40011.072276538638</v>
      </c>
      <c r="K281" s="70"/>
      <c r="L281" s="48">
        <f t="shared" si="11"/>
        <v>8002.2144553077278</v>
      </c>
      <c r="M281" s="48">
        <v>-1</v>
      </c>
      <c r="N281" s="97">
        <f t="shared" si="12"/>
        <v>32007.857821230911</v>
      </c>
      <c r="O281" s="98">
        <f>N281/O139</f>
        <v>889.10716170085868</v>
      </c>
    </row>
    <row r="282" spans="1:15" x14ac:dyDescent="0.25">
      <c r="A282" s="99">
        <v>718</v>
      </c>
      <c r="B282" s="78">
        <v>38.82</v>
      </c>
      <c r="C282" s="96">
        <f>[1]Hoja1!N648</f>
        <v>19070.011954033827</v>
      </c>
      <c r="D282" s="48"/>
      <c r="E282" s="48">
        <v>19070</v>
      </c>
      <c r="F282" s="100"/>
      <c r="G282" s="49"/>
      <c r="H282" s="48">
        <f>F282+G282+(J138*B282)+(J140*B282)</f>
        <v>24804.244984315847</v>
      </c>
      <c r="I282" s="49"/>
      <c r="J282" s="48">
        <f t="shared" si="10"/>
        <v>24804.244984315847</v>
      </c>
      <c r="K282" s="70"/>
      <c r="L282" s="48">
        <f t="shared" si="11"/>
        <v>4960.8489968631693</v>
      </c>
      <c r="M282" s="48">
        <v>0</v>
      </c>
      <c r="N282" s="97">
        <f t="shared" si="12"/>
        <v>19843.395987452677</v>
      </c>
      <c r="O282" s="98">
        <f>N282/O139</f>
        <v>551.20544409590775</v>
      </c>
    </row>
    <row r="283" spans="1:15" x14ac:dyDescent="0.25">
      <c r="A283" s="99">
        <v>801</v>
      </c>
      <c r="B283" s="78">
        <v>38.880000000000003</v>
      </c>
      <c r="C283" s="96">
        <f>[1]Hoja1!N649</f>
        <v>19345.486470191528</v>
      </c>
      <c r="D283" s="73"/>
      <c r="E283" s="48">
        <v>19345</v>
      </c>
      <c r="F283" s="100"/>
      <c r="G283" s="49">
        <f>I139*1</f>
        <v>300</v>
      </c>
      <c r="H283" s="48">
        <f>F283+G283+(J138*B283)+(J140*B283)</f>
        <v>25142.582302684186</v>
      </c>
      <c r="I283" s="49"/>
      <c r="J283" s="48">
        <f t="shared" si="10"/>
        <v>25142.582302684186</v>
      </c>
      <c r="K283" s="70"/>
      <c r="L283" s="48">
        <f t="shared" si="11"/>
        <v>5028.5164605368373</v>
      </c>
      <c r="M283" s="48">
        <v>0</v>
      </c>
      <c r="N283" s="97">
        <f t="shared" si="12"/>
        <v>20114.065842147349</v>
      </c>
      <c r="O283" s="98">
        <f>N283/O139</f>
        <v>558.72405117075971</v>
      </c>
    </row>
    <row r="284" spans="1:15" x14ac:dyDescent="0.25">
      <c r="A284" s="99">
        <v>802</v>
      </c>
      <c r="B284" s="78">
        <v>62.88</v>
      </c>
      <c r="C284" s="96">
        <f>[1]Hoja1!N650</f>
        <v>31128.292933272722</v>
      </c>
      <c r="D284" s="48"/>
      <c r="E284" s="48">
        <v>31128</v>
      </c>
      <c r="F284" s="78"/>
      <c r="G284" s="49">
        <f>I139*1</f>
        <v>300</v>
      </c>
      <c r="H284" s="48">
        <f>F284+G284+(J138*B284)+(J140*B284)</f>
        <v>40477.509650020103</v>
      </c>
      <c r="I284" s="49"/>
      <c r="J284" s="48">
        <f t="shared" si="10"/>
        <v>40477.509650020103</v>
      </c>
      <c r="K284" s="70"/>
      <c r="L284" s="48">
        <f t="shared" si="11"/>
        <v>8095.5019300040203</v>
      </c>
      <c r="M284" s="48">
        <v>1</v>
      </c>
      <c r="N284" s="97">
        <f t="shared" si="12"/>
        <v>32383.007720016081</v>
      </c>
      <c r="O284" s="98">
        <f>N284/O139</f>
        <v>899.5279922226689</v>
      </c>
    </row>
    <row r="285" spans="1:15" x14ac:dyDescent="0.25">
      <c r="A285" s="99">
        <v>803</v>
      </c>
      <c r="B285" s="78">
        <v>61.92</v>
      </c>
      <c r="C285" s="96">
        <f>[1]Hoja1!N651</f>
        <v>43052.692329527519</v>
      </c>
      <c r="D285" s="73"/>
      <c r="E285" s="48">
        <f>1300*35</f>
        <v>45500</v>
      </c>
      <c r="F285" s="72">
        <f>O138*B285*26</f>
        <v>13898.896081714387</v>
      </c>
      <c r="G285" s="49">
        <f>I139*1</f>
        <v>300</v>
      </c>
      <c r="H285" s="48">
        <f>F285+G285+(J138*B285)+(J140*B285)</f>
        <v>53763.008637841056</v>
      </c>
      <c r="I285" s="49"/>
      <c r="J285" s="48">
        <f t="shared" si="10"/>
        <v>53763.008637841056</v>
      </c>
      <c r="K285" s="48">
        <v>1163</v>
      </c>
      <c r="L285" s="48">
        <f t="shared" si="11"/>
        <v>10752.601727568212</v>
      </c>
      <c r="M285" s="48">
        <v>-2448</v>
      </c>
      <c r="N285" s="97">
        <f t="shared" si="12"/>
        <v>41725.406910272846</v>
      </c>
      <c r="O285" s="98">
        <f>N285/O139</f>
        <v>1159.0390808409124</v>
      </c>
    </row>
    <row r="286" spans="1:15" x14ac:dyDescent="0.25">
      <c r="A286" s="99">
        <v>804</v>
      </c>
      <c r="B286" s="78">
        <v>35.69</v>
      </c>
      <c r="C286" s="96">
        <f>[1]Hoja1!N652</f>
        <v>17527.424694473651</v>
      </c>
      <c r="D286" s="48"/>
      <c r="E286" s="48">
        <v>17540</v>
      </c>
      <c r="F286" s="100"/>
      <c r="G286" s="49"/>
      <c r="H286" s="48">
        <f>F286+G286+(J138*B286)+(J140*B286)</f>
        <v>22804.314876100787</v>
      </c>
      <c r="I286" s="49"/>
      <c r="J286" s="48">
        <f t="shared" si="10"/>
        <v>22804.314876100787</v>
      </c>
      <c r="K286" s="70"/>
      <c r="L286" s="48">
        <f t="shared" si="11"/>
        <v>4560.8629752201578</v>
      </c>
      <c r="M286" s="48">
        <v>-13</v>
      </c>
      <c r="N286" s="97">
        <f t="shared" si="12"/>
        <v>18230.451900880631</v>
      </c>
      <c r="O286" s="98">
        <f>N286/O139</f>
        <v>506.40144169112864</v>
      </c>
    </row>
    <row r="287" spans="1:15" x14ac:dyDescent="0.25">
      <c r="A287" s="99">
        <v>805</v>
      </c>
      <c r="B287" s="78">
        <v>70.959999999999994</v>
      </c>
      <c r="C287" s="96">
        <f>[1]Hoja1!N653</f>
        <v>421318.38055342773</v>
      </c>
      <c r="D287" s="73"/>
      <c r="E287" s="48">
        <f>27000+25180</f>
        <v>52180</v>
      </c>
      <c r="F287" s="78"/>
      <c r="G287" s="49">
        <f>I139*1</f>
        <v>300</v>
      </c>
      <c r="H287" s="48">
        <f>F287+G287+(J138*B287)+(J140*B287)</f>
        <v>45640.268523623192</v>
      </c>
      <c r="I287" s="49">
        <f>H287*10/100</f>
        <v>4564.026852362319</v>
      </c>
      <c r="J287" s="48">
        <f t="shared" si="10"/>
        <v>50204.295375985508</v>
      </c>
      <c r="K287" s="80">
        <v>1785</v>
      </c>
      <c r="L287" s="48">
        <f t="shared" si="11"/>
        <v>10040.859075197101</v>
      </c>
      <c r="M287" s="48">
        <v>386365</v>
      </c>
      <c r="N287" s="97">
        <f t="shared" si="12"/>
        <v>428313.43630078842</v>
      </c>
      <c r="O287" s="98">
        <f>N287/O139</f>
        <v>11897.595452799678</v>
      </c>
    </row>
    <row r="288" spans="1:15" x14ac:dyDescent="0.25">
      <c r="A288" s="99">
        <v>806</v>
      </c>
      <c r="B288" s="78">
        <v>87.8</v>
      </c>
      <c r="C288" s="96">
        <f>[1]Hoja1!N654</f>
        <v>43131.04197743869</v>
      </c>
      <c r="D288" s="73"/>
      <c r="E288" s="48">
        <v>43131</v>
      </c>
      <c r="F288" s="100"/>
      <c r="G288" s="49"/>
      <c r="H288" s="48">
        <f>F288+G288+(J138*B288)+(J140*B288)</f>
        <v>56100.275879003893</v>
      </c>
      <c r="I288" s="49"/>
      <c r="J288" s="48">
        <f t="shared" si="10"/>
        <v>56100.275879003893</v>
      </c>
      <c r="K288" s="70"/>
      <c r="L288" s="48">
        <f t="shared" si="11"/>
        <v>11220.05517580078</v>
      </c>
      <c r="M288" s="73">
        <v>0</v>
      </c>
      <c r="N288" s="97">
        <f t="shared" si="12"/>
        <v>44880.220703203115</v>
      </c>
      <c r="O288" s="98">
        <f>N288/O139</f>
        <v>1246.6727973111977</v>
      </c>
    </row>
    <row r="289" spans="1:15" x14ac:dyDescent="0.25">
      <c r="A289" s="99">
        <v>807</v>
      </c>
      <c r="B289" s="78">
        <v>58</v>
      </c>
      <c r="C289" s="96">
        <f>[1]Hoja1!N655</f>
        <v>28256.03228577954</v>
      </c>
      <c r="D289" s="48"/>
      <c r="E289" s="48">
        <v>28256</v>
      </c>
      <c r="F289" s="78"/>
      <c r="G289" s="49"/>
      <c r="H289" s="48">
        <f>F289+G289+(J138*B289)+(J140*B289)</f>
        <v>37059.407756061803</v>
      </c>
      <c r="I289" s="49"/>
      <c r="J289" s="48">
        <f t="shared" si="10"/>
        <v>37059.407756061803</v>
      </c>
      <c r="K289" s="70"/>
      <c r="L289" s="48">
        <f t="shared" si="11"/>
        <v>7411.881551212361</v>
      </c>
      <c r="M289" s="48">
        <v>0</v>
      </c>
      <c r="N289" s="97">
        <f t="shared" si="12"/>
        <v>29647.526204849441</v>
      </c>
      <c r="O289" s="98">
        <f>N289/O139</f>
        <v>823.54239457915116</v>
      </c>
    </row>
    <row r="290" spans="1:15" x14ac:dyDescent="0.25">
      <c r="A290" s="99">
        <v>808</v>
      </c>
      <c r="B290" s="78">
        <v>65.42</v>
      </c>
      <c r="C290" s="96">
        <f>[1]Hoja1!N656</f>
        <v>31314.047450615479</v>
      </c>
      <c r="D290" s="48"/>
      <c r="E290" s="48">
        <v>0</v>
      </c>
      <c r="F290" s="100"/>
      <c r="G290" s="49">
        <f>I139*1</f>
        <v>300</v>
      </c>
      <c r="H290" s="48">
        <f>F290+G290+(J138*B290)+(J140*B290)</f>
        <v>42100.456127613157</v>
      </c>
      <c r="I290" s="49">
        <f>H290*10/100</f>
        <v>4210.0456127613152</v>
      </c>
      <c r="J290" s="48">
        <f t="shared" si="10"/>
        <v>46310.501740374471</v>
      </c>
      <c r="K290" s="70"/>
      <c r="L290" s="48">
        <f t="shared" si="11"/>
        <v>9262.100348074895</v>
      </c>
      <c r="M290" s="48">
        <v>42955</v>
      </c>
      <c r="N290" s="97">
        <f t="shared" si="12"/>
        <v>80003.40139229958</v>
      </c>
      <c r="O290" s="98">
        <f>N290/O139</f>
        <v>2222.3167053416551</v>
      </c>
    </row>
    <row r="291" spans="1:15" x14ac:dyDescent="0.25">
      <c r="A291" s="99">
        <v>809</v>
      </c>
      <c r="B291" s="78">
        <v>37.299999999999997</v>
      </c>
      <c r="C291" s="96">
        <f>[1]Hoja1!N657</f>
        <v>18563.324211372015</v>
      </c>
      <c r="D291" s="48"/>
      <c r="E291" s="48">
        <v>18563</v>
      </c>
      <c r="F291" s="100"/>
      <c r="G291" s="49">
        <f>I139*1</f>
        <v>300</v>
      </c>
      <c r="H291" s="48">
        <f>F291+G291+(J138*B291)+(J140*B291)</f>
        <v>24133.032918984569</v>
      </c>
      <c r="I291" s="49"/>
      <c r="J291" s="48">
        <f t="shared" si="10"/>
        <v>24133.032918984569</v>
      </c>
      <c r="K291" s="70"/>
      <c r="L291" s="48">
        <f t="shared" si="11"/>
        <v>4826.6065837969136</v>
      </c>
      <c r="M291" s="48">
        <v>0</v>
      </c>
      <c r="N291" s="97">
        <f t="shared" si="12"/>
        <v>19306.426335187654</v>
      </c>
      <c r="O291" s="98">
        <f>N291/O139</f>
        <v>536.28962042187925</v>
      </c>
    </row>
    <row r="292" spans="1:15" x14ac:dyDescent="0.25">
      <c r="A292" s="99">
        <v>810</v>
      </c>
      <c r="B292" s="78">
        <v>57.85</v>
      </c>
      <c r="C292" s="96">
        <f>[1]Hoja1!N658</f>
        <v>28653.345995385287</v>
      </c>
      <c r="D292" s="48"/>
      <c r="E292" s="48">
        <v>29000</v>
      </c>
      <c r="F292" s="100"/>
      <c r="G292" s="49">
        <f>I139*1</f>
        <v>300</v>
      </c>
      <c r="H292" s="48">
        <f>F292+G292+(J138*B292)+(J140*B292)</f>
        <v>37263.564460140951</v>
      </c>
      <c r="I292" s="49"/>
      <c r="J292" s="48">
        <f t="shared" si="10"/>
        <v>37263.564460140951</v>
      </c>
      <c r="K292" s="70"/>
      <c r="L292" s="48">
        <f t="shared" si="11"/>
        <v>7452.7128920281903</v>
      </c>
      <c r="M292" s="48">
        <v>-347</v>
      </c>
      <c r="N292" s="97">
        <f t="shared" si="12"/>
        <v>29463.851568112761</v>
      </c>
      <c r="O292" s="98">
        <f>N292/O139</f>
        <v>818.44032133646556</v>
      </c>
    </row>
    <row r="293" spans="1:15" x14ac:dyDescent="0.25">
      <c r="A293" s="99">
        <v>811</v>
      </c>
      <c r="B293" s="78">
        <v>99.95</v>
      </c>
      <c r="C293" s="96">
        <f>[1]Hoja1!N659</f>
        <v>49338.631499373543</v>
      </c>
      <c r="D293" s="73"/>
      <c r="E293" s="48">
        <v>49339</v>
      </c>
      <c r="F293" s="100"/>
      <c r="G293" s="49">
        <f>I139*1</f>
        <v>300</v>
      </c>
      <c r="H293" s="48">
        <f>F293+G293+(J138*B293)+(J140*B293)</f>
        <v>64163.582848592705</v>
      </c>
      <c r="I293" s="49"/>
      <c r="J293" s="48">
        <f t="shared" si="10"/>
        <v>64163.582848592705</v>
      </c>
      <c r="K293" s="70"/>
      <c r="L293" s="48">
        <f t="shared" si="11"/>
        <v>12832.716569718541</v>
      </c>
      <c r="M293" s="48">
        <v>0</v>
      </c>
      <c r="N293" s="97">
        <f t="shared" si="12"/>
        <v>51330.866278874164</v>
      </c>
      <c r="O293" s="98">
        <f>N293/O139</f>
        <v>1425.8573966353933</v>
      </c>
    </row>
    <row r="294" spans="1:15" x14ac:dyDescent="0.25">
      <c r="A294" s="99">
        <v>813</v>
      </c>
      <c r="B294" s="78">
        <v>58.63</v>
      </c>
      <c r="C294" s="96">
        <f>[1]Hoja1!N660</f>
        <v>28736.514705435424</v>
      </c>
      <c r="D294" s="73"/>
      <c r="E294" s="48">
        <v>0</v>
      </c>
      <c r="F294" s="100"/>
      <c r="G294" s="49">
        <f>I139*1</f>
        <v>300</v>
      </c>
      <c r="H294" s="48">
        <f>F294+G294+(J138*B294)+(J140*B294)</f>
        <v>37761.949598929372</v>
      </c>
      <c r="I294" s="49">
        <f>H294*10/100</f>
        <v>3776.1949598929373</v>
      </c>
      <c r="J294" s="48">
        <f t="shared" si="10"/>
        <v>41538.144558822307</v>
      </c>
      <c r="K294" s="70"/>
      <c r="L294" s="48">
        <f t="shared" si="11"/>
        <v>8307.628911764461</v>
      </c>
      <c r="M294" s="48">
        <v>39237</v>
      </c>
      <c r="N294" s="97">
        <f t="shared" si="12"/>
        <v>72467.515647057851</v>
      </c>
      <c r="O294" s="98">
        <f>N294/O139</f>
        <v>2012.9865457516071</v>
      </c>
    </row>
    <row r="295" spans="1:15" x14ac:dyDescent="0.25">
      <c r="A295" s="99">
        <v>814</v>
      </c>
      <c r="B295" s="78">
        <v>33.85</v>
      </c>
      <c r="C295" s="96">
        <f>[1]Hoja1!N661</f>
        <v>16628.539532304094</v>
      </c>
      <c r="D295" s="48"/>
      <c r="E295" s="48">
        <v>16629</v>
      </c>
      <c r="F295" s="78"/>
      <c r="G295" s="49"/>
      <c r="H295" s="48">
        <f>F295+G295+(J138*B295)+(J140*B295)</f>
        <v>21628.637112805034</v>
      </c>
      <c r="I295" s="49"/>
      <c r="J295" s="48">
        <f t="shared" si="10"/>
        <v>21628.637112805034</v>
      </c>
      <c r="K295" s="70"/>
      <c r="L295" s="48">
        <f t="shared" si="11"/>
        <v>4325.7274225610072</v>
      </c>
      <c r="M295" s="48">
        <v>-1</v>
      </c>
      <c r="N295" s="97">
        <f t="shared" si="12"/>
        <v>17301.909690244029</v>
      </c>
      <c r="O295" s="98">
        <f>N295/O139</f>
        <v>480.6086025067786</v>
      </c>
    </row>
    <row r="296" spans="1:15" x14ac:dyDescent="0.25">
      <c r="A296" s="99">
        <v>815</v>
      </c>
      <c r="B296" s="78">
        <v>35.5</v>
      </c>
      <c r="C296" s="96">
        <f>[1]Hoja1!N662</f>
        <v>44539.997599305018</v>
      </c>
      <c r="D296" s="48"/>
      <c r="E296" s="48">
        <v>49336</v>
      </c>
      <c r="F296" s="78"/>
      <c r="G296" s="49"/>
      <c r="H296" s="48">
        <f>F296+G296+(J138*B296)+(J140*B296)</f>
        <v>22682.913367934379</v>
      </c>
      <c r="I296" s="49"/>
      <c r="J296" s="48">
        <f t="shared" si="10"/>
        <v>22682.913367934379</v>
      </c>
      <c r="K296" s="70"/>
      <c r="L296" s="48">
        <f t="shared" si="11"/>
        <v>4536.5826735868759</v>
      </c>
      <c r="M296" s="48">
        <v>0</v>
      </c>
      <c r="N296" s="97">
        <f t="shared" si="12"/>
        <v>18146.330694347504</v>
      </c>
      <c r="O296" s="98">
        <f>N296/O139</f>
        <v>504.06474150965289</v>
      </c>
    </row>
    <row r="297" spans="1:15" x14ac:dyDescent="0.25">
      <c r="A297" s="99">
        <v>816</v>
      </c>
      <c r="B297" s="78">
        <v>64.06</v>
      </c>
      <c r="C297" s="96">
        <f>[1]Hoja1!N663</f>
        <v>43314.958417707545</v>
      </c>
      <c r="D297" s="48"/>
      <c r="E297" s="48">
        <f>21870+21870</f>
        <v>43740</v>
      </c>
      <c r="F297" s="100"/>
      <c r="G297" s="49"/>
      <c r="H297" s="48">
        <f>F297+G297+(J138*B297)+(J140*B297)</f>
        <v>40931.476911264122</v>
      </c>
      <c r="I297" s="49"/>
      <c r="J297" s="48">
        <f t="shared" si="10"/>
        <v>40931.476911264122</v>
      </c>
      <c r="K297" s="70"/>
      <c r="L297" s="48">
        <f t="shared" si="11"/>
        <v>8186.2953822528243</v>
      </c>
      <c r="M297" s="48">
        <v>1203</v>
      </c>
      <c r="N297" s="97">
        <f t="shared" si="12"/>
        <v>33948.181529011301</v>
      </c>
      <c r="O297" s="98">
        <f>N297/O139</f>
        <v>943.00504247253616</v>
      </c>
    </row>
    <row r="298" spans="1:15" x14ac:dyDescent="0.25">
      <c r="A298" s="99">
        <v>817</v>
      </c>
      <c r="B298" s="78">
        <v>64.239999999999995</v>
      </c>
      <c r="C298" s="96">
        <f>[1]Hoja1!N664</f>
        <v>80735.120162798718</v>
      </c>
      <c r="D298" s="48"/>
      <c r="E298" s="48">
        <v>89414</v>
      </c>
      <c r="F298" s="72"/>
      <c r="G298" s="49"/>
      <c r="H298" s="48">
        <f>F298+G298+(J138*B298)+(J140*B298)</f>
        <v>41046.488866369138</v>
      </c>
      <c r="I298" s="49"/>
      <c r="J298" s="48">
        <f t="shared" si="10"/>
        <v>41046.488866369138</v>
      </c>
      <c r="K298" s="70"/>
      <c r="L298" s="48">
        <f t="shared" si="11"/>
        <v>8209.2977732738273</v>
      </c>
      <c r="M298" s="48">
        <v>0</v>
      </c>
      <c r="N298" s="97">
        <f t="shared" si="12"/>
        <v>32837.191093095309</v>
      </c>
      <c r="O298" s="98">
        <f>N298/O139</f>
        <v>912.14419703042529</v>
      </c>
    </row>
    <row r="299" spans="1:15" x14ac:dyDescent="0.25">
      <c r="A299" s="99">
        <v>818</v>
      </c>
      <c r="B299" s="78">
        <v>38.5</v>
      </c>
      <c r="C299" s="96">
        <f>[1]Hoja1!N665</f>
        <v>18912.814534526075</v>
      </c>
      <c r="D299" s="48"/>
      <c r="E299" s="48">
        <v>18913</v>
      </c>
      <c r="F299" s="100"/>
      <c r="G299" s="49"/>
      <c r="H299" s="48">
        <f>F299+G299+(J138*B299)+(J140*B299)</f>
        <v>24599.779286351368</v>
      </c>
      <c r="I299" s="49"/>
      <c r="J299" s="48">
        <f t="shared" si="10"/>
        <v>24599.779286351368</v>
      </c>
      <c r="K299" s="70"/>
      <c r="L299" s="48">
        <f t="shared" si="11"/>
        <v>4919.9558572702736</v>
      </c>
      <c r="M299" s="48">
        <v>0</v>
      </c>
      <c r="N299" s="97">
        <f t="shared" si="12"/>
        <v>19679.823429081094</v>
      </c>
      <c r="O299" s="98">
        <f>N299/O139</f>
        <v>546.6617619189193</v>
      </c>
    </row>
    <row r="300" spans="1:15" x14ac:dyDescent="0.25">
      <c r="A300" s="99">
        <v>901</v>
      </c>
      <c r="B300" s="78">
        <v>38.96</v>
      </c>
      <c r="C300" s="96">
        <f>[1]Hoja1!N666</f>
        <v>8598.7858250684658</v>
      </c>
      <c r="D300" s="48"/>
      <c r="E300" s="48">
        <v>8599</v>
      </c>
      <c r="F300" s="78"/>
      <c r="G300" s="49"/>
      <c r="H300" s="48">
        <f>F300+G300+(J138*B300)+(J140*B300)</f>
        <v>24893.698727175306</v>
      </c>
      <c r="I300" s="49"/>
      <c r="J300" s="48">
        <f t="shared" si="10"/>
        <v>24893.698727175306</v>
      </c>
      <c r="K300" s="70"/>
      <c r="L300" s="48">
        <f t="shared" si="11"/>
        <v>4978.7397454350612</v>
      </c>
      <c r="M300" s="48">
        <v>0</v>
      </c>
      <c r="N300" s="97">
        <f t="shared" si="12"/>
        <v>19914.958981740245</v>
      </c>
      <c r="O300" s="98">
        <f>N300/O139</f>
        <v>553.19330504834011</v>
      </c>
    </row>
    <row r="301" spans="1:15" x14ac:dyDescent="0.25">
      <c r="A301" s="99">
        <v>902</v>
      </c>
      <c r="B301" s="78">
        <v>64.23</v>
      </c>
      <c r="C301" s="96">
        <f>[1]Hoja1!N667</f>
        <v>31551.469546821038</v>
      </c>
      <c r="D301" s="48"/>
      <c r="E301" s="48">
        <v>31550</v>
      </c>
      <c r="F301" s="100"/>
      <c r="G301" s="49"/>
      <c r="H301" s="48">
        <f>F301+G301+(J138*B301)+(J140*B301)</f>
        <v>41040.09931330775</v>
      </c>
      <c r="I301" s="49"/>
      <c r="J301" s="48">
        <f t="shared" si="10"/>
        <v>41040.09931330775</v>
      </c>
      <c r="K301" s="70"/>
      <c r="L301" s="48">
        <f t="shared" si="11"/>
        <v>8208.0198626615511</v>
      </c>
      <c r="M301" s="48">
        <v>2</v>
      </c>
      <c r="N301" s="97">
        <f t="shared" si="12"/>
        <v>32834.079450646197</v>
      </c>
      <c r="O301" s="98">
        <f>N301/O139</f>
        <v>912.05776251794987</v>
      </c>
    </row>
    <row r="302" spans="1:15" x14ac:dyDescent="0.25">
      <c r="A302" s="99">
        <v>903</v>
      </c>
      <c r="B302" s="78">
        <v>61.68</v>
      </c>
      <c r="C302" s="96">
        <f>[1]Hoja1!N668</f>
        <v>30299.802610118659</v>
      </c>
      <c r="D302" s="73"/>
      <c r="E302" s="48">
        <v>30300</v>
      </c>
      <c r="F302" s="100"/>
      <c r="G302" s="49"/>
      <c r="H302" s="48">
        <f>F302+G302+(J138*B302)+(J140*B302)</f>
        <v>39410.763282653308</v>
      </c>
      <c r="I302" s="49"/>
      <c r="J302" s="48">
        <f t="shared" si="10"/>
        <v>39410.763282653308</v>
      </c>
      <c r="K302" s="70"/>
      <c r="L302" s="48">
        <f t="shared" si="11"/>
        <v>7882.1526565306613</v>
      </c>
      <c r="M302" s="48">
        <v>0</v>
      </c>
      <c r="N302" s="97">
        <f t="shared" si="12"/>
        <v>31528.610626122645</v>
      </c>
      <c r="O302" s="98">
        <f>N302/O139</f>
        <v>875.79473961451788</v>
      </c>
    </row>
    <row r="303" spans="1:15" x14ac:dyDescent="0.25">
      <c r="A303" s="99">
        <v>904</v>
      </c>
      <c r="B303" s="78">
        <v>35.67</v>
      </c>
      <c r="C303" s="96">
        <f>[1]Hoja1!N669</f>
        <v>17522.599855754419</v>
      </c>
      <c r="D303" s="48"/>
      <c r="E303" s="48">
        <v>17523</v>
      </c>
      <c r="F303" s="100"/>
      <c r="G303" s="49"/>
      <c r="H303" s="48">
        <f>F303+G303+(J138*B303)+(J140*B303)</f>
        <v>22791.535769978007</v>
      </c>
      <c r="I303" s="49"/>
      <c r="J303" s="48">
        <f t="shared" si="10"/>
        <v>22791.535769978007</v>
      </c>
      <c r="K303" s="70"/>
      <c r="L303" s="48">
        <f t="shared" si="11"/>
        <v>4558.3071539956018</v>
      </c>
      <c r="M303" s="48">
        <v>-1</v>
      </c>
      <c r="N303" s="97">
        <f t="shared" si="12"/>
        <v>18232.228615982407</v>
      </c>
      <c r="O303" s="98">
        <f>N303/O139</f>
        <v>506.4507948884002</v>
      </c>
    </row>
    <row r="304" spans="1:15" x14ac:dyDescent="0.25">
      <c r="A304" s="99">
        <v>905</v>
      </c>
      <c r="B304" s="78">
        <v>70.77</v>
      </c>
      <c r="C304" s="96">
        <f>[1]Hoja1!N670</f>
        <v>35006.191808010662</v>
      </c>
      <c r="D304" s="48"/>
      <c r="E304" s="48">
        <v>0</v>
      </c>
      <c r="F304" s="100"/>
      <c r="G304" s="49">
        <f>I139*1</f>
        <v>300</v>
      </c>
      <c r="H304" s="48">
        <f>F304+G304+(J138*B304)+(J140*B304)</f>
        <v>45518.867015456781</v>
      </c>
      <c r="I304" s="49">
        <f>H304*10/100</f>
        <v>4551.8867015456781</v>
      </c>
      <c r="J304" s="48">
        <f t="shared" si="10"/>
        <v>50070.753717002459</v>
      </c>
      <c r="K304" s="70"/>
      <c r="L304" s="48">
        <f t="shared" si="11"/>
        <v>10014.150743400493</v>
      </c>
      <c r="M304" s="48">
        <v>47695</v>
      </c>
      <c r="N304" s="97">
        <f t="shared" si="12"/>
        <v>87751.60297360197</v>
      </c>
      <c r="O304" s="98">
        <f>N304/O139</f>
        <v>2437.5445270444993</v>
      </c>
    </row>
    <row r="305" spans="1:15" x14ac:dyDescent="0.25">
      <c r="A305" s="99">
        <v>906</v>
      </c>
      <c r="B305" s="78">
        <v>92.2</v>
      </c>
      <c r="C305" s="96">
        <f>[1]Hoja1!N671</f>
        <v>45532.506495670241</v>
      </c>
      <c r="D305" s="73"/>
      <c r="E305" s="48">
        <f>1301*35</f>
        <v>45535</v>
      </c>
      <c r="F305" s="78"/>
      <c r="G305" s="49">
        <f>I139*1</f>
        <v>300</v>
      </c>
      <c r="H305" s="48">
        <f>F305+G305+(J138*B305)+(J140*B305)</f>
        <v>59211.679226015491</v>
      </c>
      <c r="I305" s="49"/>
      <c r="J305" s="48">
        <f t="shared" si="10"/>
        <v>59211.679226015491</v>
      </c>
      <c r="K305" s="70"/>
      <c r="L305" s="48">
        <f t="shared" si="11"/>
        <v>11842.335845203097</v>
      </c>
      <c r="M305" s="48">
        <v>-3</v>
      </c>
      <c r="N305" s="97">
        <f t="shared" si="12"/>
        <v>47366.343380812395</v>
      </c>
      <c r="O305" s="98">
        <f>N305/O139</f>
        <v>1315.731760578122</v>
      </c>
    </row>
    <row r="306" spans="1:15" x14ac:dyDescent="0.25">
      <c r="A306" s="99">
        <v>907</v>
      </c>
      <c r="B306" s="78">
        <v>57.47</v>
      </c>
      <c r="C306" s="96">
        <f>[1]Hoja1!N672</f>
        <v>29383.67405971983</v>
      </c>
      <c r="D306" s="48"/>
      <c r="E306" s="48">
        <f>29384+16000</f>
        <v>45384</v>
      </c>
      <c r="F306" s="100"/>
      <c r="G306" s="49">
        <f>I139*1</f>
        <v>300</v>
      </c>
      <c r="H306" s="48">
        <f>F306+G306+(J138*B306)+(J140*B306)</f>
        <v>37020.761443808129</v>
      </c>
      <c r="I306" s="49"/>
      <c r="J306" s="48">
        <f t="shared" si="10"/>
        <v>37020.761443808129</v>
      </c>
      <c r="K306" s="70"/>
      <c r="L306" s="48">
        <f t="shared" si="11"/>
        <v>7404.1522887616256</v>
      </c>
      <c r="M306" s="48">
        <v>-17230</v>
      </c>
      <c r="N306" s="97">
        <f t="shared" si="12"/>
        <v>12386.609155046503</v>
      </c>
      <c r="O306" s="98">
        <f>N306/O139</f>
        <v>344.07247652906949</v>
      </c>
    </row>
    <row r="307" spans="1:15" x14ac:dyDescent="0.25">
      <c r="A307" s="99">
        <v>908</v>
      </c>
      <c r="B307" s="78">
        <v>66.180000000000007</v>
      </c>
      <c r="C307" s="96">
        <f>[1]Hoja1!N673</f>
        <v>32750.391321946383</v>
      </c>
      <c r="D307" s="48"/>
      <c r="E307" s="48">
        <v>32750</v>
      </c>
      <c r="F307" s="100"/>
      <c r="G307" s="49">
        <f>I139*1</f>
        <v>300</v>
      </c>
      <c r="H307" s="48">
        <f>F307+G307+(J138*B307)+(J140*B307)</f>
        <v>42586.062160278794</v>
      </c>
      <c r="I307" s="49"/>
      <c r="J307" s="48">
        <f t="shared" si="10"/>
        <v>42586.062160278794</v>
      </c>
      <c r="K307" s="70"/>
      <c r="L307" s="48">
        <f t="shared" si="11"/>
        <v>8517.2124320557577</v>
      </c>
      <c r="M307" s="48">
        <v>0</v>
      </c>
      <c r="N307" s="97">
        <f t="shared" si="12"/>
        <v>34068.849728223038</v>
      </c>
      <c r="O307" s="98">
        <f>N307/O139</f>
        <v>946.35693689508435</v>
      </c>
    </row>
    <row r="308" spans="1:15" x14ac:dyDescent="0.25">
      <c r="A308" s="99">
        <v>909</v>
      </c>
      <c r="B308" s="78">
        <v>37.29</v>
      </c>
      <c r="C308" s="96">
        <f>[1]Hoja1!N674</f>
        <v>3002.4117920123972</v>
      </c>
      <c r="D308" s="48"/>
      <c r="E308" s="48">
        <f>90*35</f>
        <v>3150</v>
      </c>
      <c r="F308" s="100"/>
      <c r="G308" s="49">
        <f>I139*1</f>
        <v>300</v>
      </c>
      <c r="H308" s="48">
        <f>F308+G308+(J138*B308)+(J140*B308)</f>
        <v>24126.643365923181</v>
      </c>
      <c r="I308" s="49"/>
      <c r="J308" s="48">
        <f t="shared" si="10"/>
        <v>24126.643365923181</v>
      </c>
      <c r="K308" s="70"/>
      <c r="L308" s="48">
        <f t="shared" si="11"/>
        <v>4825.3286731846365</v>
      </c>
      <c r="M308" s="48">
        <v>-147</v>
      </c>
      <c r="N308" s="97">
        <f t="shared" si="12"/>
        <v>19154.314692738546</v>
      </c>
      <c r="O308" s="98">
        <f>N308/O139</f>
        <v>532.06429702051514</v>
      </c>
    </row>
    <row r="309" spans="1:15" x14ac:dyDescent="0.25">
      <c r="A309" s="99">
        <v>910</v>
      </c>
      <c r="B309" s="78">
        <v>58.47</v>
      </c>
      <c r="C309" s="96">
        <f>[1]Hoja1!N675</f>
        <v>28922.915995681553</v>
      </c>
      <c r="D309" s="48"/>
      <c r="E309" s="48">
        <f>900*35</f>
        <v>31500</v>
      </c>
      <c r="F309" s="100"/>
      <c r="G309" s="49">
        <f>I139*1</f>
        <v>300</v>
      </c>
      <c r="H309" s="48">
        <f>F309+G309+(J138*B309)+(J140*B309)</f>
        <v>37659.716749947125</v>
      </c>
      <c r="I309" s="49"/>
      <c r="J309" s="48">
        <f t="shared" si="10"/>
        <v>37659.716749947125</v>
      </c>
      <c r="K309" s="48">
        <v>775</v>
      </c>
      <c r="L309" s="48">
        <f t="shared" si="11"/>
        <v>7531.9433499894249</v>
      </c>
      <c r="M309" s="48">
        <v>-2585</v>
      </c>
      <c r="N309" s="97">
        <f t="shared" si="12"/>
        <v>28317.773399957699</v>
      </c>
      <c r="O309" s="98">
        <f>N309/O139</f>
        <v>786.60481666549163</v>
      </c>
    </row>
    <row r="310" spans="1:15" x14ac:dyDescent="0.25">
      <c r="A310" s="99">
        <v>911</v>
      </c>
      <c r="B310" s="78">
        <v>65.239999999999995</v>
      </c>
      <c r="C310" s="96">
        <f>[1]Hoja1!N676</f>
        <v>32033.623902142368</v>
      </c>
      <c r="D310" s="48"/>
      <c r="E310" s="48">
        <v>32000</v>
      </c>
      <c r="F310" s="100"/>
      <c r="G310" s="49"/>
      <c r="H310" s="48">
        <f>F310+G310+(J138*B310)+(J140*B310)</f>
        <v>41685.444172508134</v>
      </c>
      <c r="I310" s="49"/>
      <c r="J310" s="48">
        <f t="shared" si="10"/>
        <v>41685.444172508134</v>
      </c>
      <c r="K310" s="70"/>
      <c r="L310" s="48">
        <f t="shared" si="11"/>
        <v>8337.0888345016265</v>
      </c>
      <c r="M310" s="48">
        <v>34</v>
      </c>
      <c r="N310" s="97">
        <f t="shared" si="12"/>
        <v>33382.355338006506</v>
      </c>
      <c r="O310" s="98">
        <f>N310/O139</f>
        <v>927.28764827795851</v>
      </c>
    </row>
    <row r="311" spans="1:15" x14ac:dyDescent="0.25">
      <c r="A311" s="99">
        <v>912</v>
      </c>
      <c r="B311" s="78">
        <v>38.130000000000003</v>
      </c>
      <c r="C311" s="96">
        <f>[1]Hoja1!N677</f>
        <v>18747.055018220242</v>
      </c>
      <c r="D311" s="48"/>
      <c r="E311" s="48">
        <v>18800</v>
      </c>
      <c r="F311" s="100"/>
      <c r="G311" s="49"/>
      <c r="H311" s="48">
        <f>F311+G311+(J138*B311)+(J140*B311)</f>
        <v>24363.365823079941</v>
      </c>
      <c r="I311" s="49"/>
      <c r="J311" s="48">
        <f t="shared" si="10"/>
        <v>24363.365823079941</v>
      </c>
      <c r="K311" s="70"/>
      <c r="L311" s="48">
        <f t="shared" si="11"/>
        <v>4872.6731646159888</v>
      </c>
      <c r="M311" s="48">
        <v>-53</v>
      </c>
      <c r="N311" s="97">
        <f t="shared" si="12"/>
        <v>19437.692658463951</v>
      </c>
      <c r="O311" s="98">
        <f>N311/O139</f>
        <v>539.93590717955419</v>
      </c>
    </row>
    <row r="312" spans="1:15" x14ac:dyDescent="0.25">
      <c r="A312" s="99">
        <v>913</v>
      </c>
      <c r="B312" s="78">
        <v>57.82</v>
      </c>
      <c r="C312" s="96">
        <f>[1]Hoja1!N678</f>
        <v>8632.2823280627854</v>
      </c>
      <c r="D312" s="48"/>
      <c r="E312" s="48">
        <f>247*35</f>
        <v>8645</v>
      </c>
      <c r="F312" s="72">
        <f>O138*B312*13</f>
        <v>6489.2940200640014</v>
      </c>
      <c r="G312" s="49">
        <f>I139*1</f>
        <v>300</v>
      </c>
      <c r="H312" s="48">
        <f>F312+G312+(J138*B312)+(J140*B312)</f>
        <v>43733.68982102078</v>
      </c>
      <c r="I312" s="49"/>
      <c r="J312" s="48">
        <f t="shared" si="10"/>
        <v>43733.68982102078</v>
      </c>
      <c r="K312" s="70"/>
      <c r="L312" s="48">
        <f t="shared" si="11"/>
        <v>8746.737964204156</v>
      </c>
      <c r="M312" s="48">
        <v>-12</v>
      </c>
      <c r="N312" s="97">
        <f t="shared" si="12"/>
        <v>34974.951856816624</v>
      </c>
      <c r="O312" s="98">
        <f>N312/O139</f>
        <v>971.5264404671284</v>
      </c>
    </row>
    <row r="313" spans="1:15" x14ac:dyDescent="0.25">
      <c r="A313" s="99">
        <v>914</v>
      </c>
      <c r="B313" s="78">
        <v>34.89</v>
      </c>
      <c r="C313" s="96">
        <f>[1]Hoja1!N679</f>
        <v>18164.431145704282</v>
      </c>
      <c r="D313" s="48"/>
      <c r="E313" s="48">
        <f>18164</f>
        <v>18164</v>
      </c>
      <c r="F313" s="100"/>
      <c r="G313" s="49">
        <f>I139*1</f>
        <v>300</v>
      </c>
      <c r="H313" s="48">
        <f>F313+G313+(J138*B313)+(J140*B313)</f>
        <v>22593.15063118959</v>
      </c>
      <c r="I313" s="49"/>
      <c r="J313" s="48">
        <f t="shared" si="10"/>
        <v>22593.15063118959</v>
      </c>
      <c r="K313" s="70"/>
      <c r="L313" s="48">
        <f t="shared" si="11"/>
        <v>4518.6301262379184</v>
      </c>
      <c r="M313" s="48">
        <v>1</v>
      </c>
      <c r="N313" s="97">
        <f t="shared" si="12"/>
        <v>18075.520504951674</v>
      </c>
      <c r="O313" s="98">
        <f>N313/O139</f>
        <v>502.09779180421316</v>
      </c>
    </row>
    <row r="314" spans="1:15" x14ac:dyDescent="0.25">
      <c r="A314" s="99">
        <v>915</v>
      </c>
      <c r="B314" s="78">
        <v>35.65</v>
      </c>
      <c r="C314" s="96">
        <f>[1]Hoja1!N680</f>
        <v>45395.052518738703</v>
      </c>
      <c r="D314" s="48"/>
      <c r="E314" s="48">
        <f>43358.19+1738.5</f>
        <v>45096.69</v>
      </c>
      <c r="F314" s="100"/>
      <c r="G314" s="49">
        <f>I139*1</f>
        <v>300</v>
      </c>
      <c r="H314" s="48">
        <f>F314+G314+(J138*B314)+(J140*B314)</f>
        <v>23078.756663855227</v>
      </c>
      <c r="I314" s="49"/>
      <c r="J314" s="48">
        <f t="shared" si="10"/>
        <v>23078.756663855227</v>
      </c>
      <c r="K314" s="70"/>
      <c r="L314" s="48">
        <f t="shared" si="11"/>
        <v>4615.7513327710449</v>
      </c>
      <c r="M314" s="48">
        <v>299</v>
      </c>
      <c r="N314" s="97">
        <f t="shared" si="12"/>
        <v>18762.005331084183</v>
      </c>
      <c r="O314" s="98">
        <f>N314/O139</f>
        <v>521.16681475233838</v>
      </c>
    </row>
    <row r="315" spans="1:15" x14ac:dyDescent="0.25">
      <c r="A315" s="99">
        <v>916</v>
      </c>
      <c r="B315" s="78">
        <v>64.44</v>
      </c>
      <c r="C315" s="96">
        <f>[1]Hoja1!N681</f>
        <v>31655.630353372999</v>
      </c>
      <c r="D315" s="48"/>
      <c r="E315" s="48">
        <v>31656</v>
      </c>
      <c r="F315" s="100"/>
      <c r="G315" s="49"/>
      <c r="H315" s="48">
        <f>F315+G315+(J138*B315)+(J140*B315)</f>
        <v>41174.279927596937</v>
      </c>
      <c r="I315" s="49"/>
      <c r="J315" s="48">
        <f t="shared" si="10"/>
        <v>41174.279927596937</v>
      </c>
      <c r="K315" s="70"/>
      <c r="L315" s="48">
        <f t="shared" si="11"/>
        <v>8234.8559855193871</v>
      </c>
      <c r="M315" s="48">
        <v>0</v>
      </c>
      <c r="N315" s="97">
        <f t="shared" si="12"/>
        <v>32939.423942077548</v>
      </c>
      <c r="O315" s="98">
        <f>N315/O139</f>
        <v>914.98399839104297</v>
      </c>
    </row>
    <row r="316" spans="1:15" x14ac:dyDescent="0.25">
      <c r="A316" s="99">
        <v>917</v>
      </c>
      <c r="B316" s="78">
        <v>61.82</v>
      </c>
      <c r="C316" s="96">
        <f>[1]Hoja1!N682</f>
        <v>30368.576481153304</v>
      </c>
      <c r="D316" s="48"/>
      <c r="E316" s="48">
        <v>30370</v>
      </c>
      <c r="F316" s="78"/>
      <c r="G316" s="49"/>
      <c r="H316" s="48">
        <f>F316+G316+(J138*B316)+(J140*B316)</f>
        <v>39500.217025512771</v>
      </c>
      <c r="I316" s="49"/>
      <c r="J316" s="48">
        <f t="shared" si="10"/>
        <v>39500.217025512771</v>
      </c>
      <c r="K316" s="70"/>
      <c r="L316" s="48">
        <f t="shared" si="11"/>
        <v>7900.0434051025541</v>
      </c>
      <c r="M316" s="48">
        <v>-1</v>
      </c>
      <c r="N316" s="97">
        <f t="shared" si="12"/>
        <v>31599.173620410216</v>
      </c>
      <c r="O316" s="98">
        <f>N316/O139</f>
        <v>877.75482278917264</v>
      </c>
    </row>
    <row r="317" spans="1:15" x14ac:dyDescent="0.25">
      <c r="A317" s="99">
        <v>918</v>
      </c>
      <c r="B317" s="78">
        <v>38.75</v>
      </c>
      <c r="C317" s="96">
        <f>[1]Hoja1!N683</f>
        <v>18093.625018516504</v>
      </c>
      <c r="D317" s="73"/>
      <c r="E317" s="48">
        <v>18200</v>
      </c>
      <c r="F317" s="100"/>
      <c r="G317" s="49"/>
      <c r="H317" s="48">
        <f>F317+G317+(J138*B317)+(J140*B317)</f>
        <v>24759.518112886115</v>
      </c>
      <c r="I317" s="49"/>
      <c r="J317" s="48">
        <f t="shared" si="10"/>
        <v>24759.518112886115</v>
      </c>
      <c r="K317" s="70"/>
      <c r="L317" s="48">
        <f t="shared" si="11"/>
        <v>4951.9036225772234</v>
      </c>
      <c r="M317" s="48">
        <v>-107</v>
      </c>
      <c r="N317" s="97">
        <f t="shared" si="12"/>
        <v>19700.614490308893</v>
      </c>
      <c r="O317" s="98">
        <f>N317/O139</f>
        <v>547.23929139746929</v>
      </c>
    </row>
    <row r="318" spans="1:15" x14ac:dyDescent="0.25">
      <c r="A318" s="104">
        <v>1001</v>
      </c>
      <c r="B318" s="78">
        <v>38.78</v>
      </c>
      <c r="C318" s="96">
        <f>[1]Hoja1!N684</f>
        <v>19050.362276595355</v>
      </c>
      <c r="D318" s="48"/>
      <c r="E318" s="48">
        <v>19050</v>
      </c>
      <c r="F318" s="100"/>
      <c r="G318" s="49"/>
      <c r="H318" s="48">
        <f>F318+G318+(J138*B318)+(J140*B318)</f>
        <v>24778.686772070287</v>
      </c>
      <c r="I318" s="49"/>
      <c r="J318" s="48">
        <f t="shared" si="10"/>
        <v>24778.686772070287</v>
      </c>
      <c r="K318" s="70"/>
      <c r="L318" s="48">
        <f t="shared" si="11"/>
        <v>4955.7373544140573</v>
      </c>
      <c r="M318" s="48">
        <v>0</v>
      </c>
      <c r="N318" s="97">
        <f t="shared" si="12"/>
        <v>19822.949417656229</v>
      </c>
      <c r="O318" s="98">
        <f>N318/O139</f>
        <v>550.63748382378412</v>
      </c>
    </row>
    <row r="319" spans="1:15" x14ac:dyDescent="0.25">
      <c r="A319" s="104">
        <v>1002</v>
      </c>
      <c r="B319" s="78">
        <v>63.57</v>
      </c>
      <c r="C319" s="96">
        <f>[1]Hoja1!N685</f>
        <v>31458.249869086303</v>
      </c>
      <c r="D319" s="73"/>
      <c r="E319" s="48">
        <v>31458</v>
      </c>
      <c r="F319" s="100"/>
      <c r="G319" s="49">
        <f>I139*1</f>
        <v>300</v>
      </c>
      <c r="H319" s="48">
        <f>F319+G319+(J138*B319)+(J140*B319)</f>
        <v>40918.388811256009</v>
      </c>
      <c r="I319" s="49"/>
      <c r="J319" s="48">
        <f t="shared" si="10"/>
        <v>40918.388811256009</v>
      </c>
      <c r="K319" s="70"/>
      <c r="L319" s="48">
        <f t="shared" si="11"/>
        <v>8183.6777622512018</v>
      </c>
      <c r="M319" s="48">
        <v>1</v>
      </c>
      <c r="N319" s="97">
        <f t="shared" si="12"/>
        <v>32735.711049004807</v>
      </c>
      <c r="O319" s="98">
        <f>N319/O139</f>
        <v>909.32530691680017</v>
      </c>
    </row>
    <row r="320" spans="1:15" x14ac:dyDescent="0.25">
      <c r="A320" s="104">
        <v>1003</v>
      </c>
      <c r="B320" s="78">
        <v>61.94</v>
      </c>
      <c r="C320" s="96">
        <f>[1]Hoja1!N686</f>
        <v>30667.525513468707</v>
      </c>
      <c r="D320" s="48"/>
      <c r="E320" s="48">
        <f>876*35</f>
        <v>30660</v>
      </c>
      <c r="F320" s="100"/>
      <c r="G320" s="49">
        <f>I139*1</f>
        <v>300</v>
      </c>
      <c r="H320" s="48">
        <f>F320+G320+(J138*B320)+(J140*B320)</f>
        <v>39876.891662249443</v>
      </c>
      <c r="I320" s="49"/>
      <c r="J320" s="48">
        <f t="shared" si="10"/>
        <v>39876.891662249443</v>
      </c>
      <c r="K320" s="70"/>
      <c r="L320" s="48">
        <f t="shared" si="11"/>
        <v>7975.3783324498891</v>
      </c>
      <c r="M320" s="48">
        <v>8</v>
      </c>
      <c r="N320" s="97">
        <f t="shared" si="12"/>
        <v>31909.513329799556</v>
      </c>
      <c r="O320" s="98">
        <f>N320/O139</f>
        <v>886.37537027220992</v>
      </c>
    </row>
    <row r="321" spans="1:15" x14ac:dyDescent="0.25">
      <c r="A321" s="104">
        <v>1004</v>
      </c>
      <c r="B321" s="78">
        <v>36.29</v>
      </c>
      <c r="C321" s="96">
        <f>[1]Hoja1!N687</f>
        <v>-11470.830143949315</v>
      </c>
      <c r="D321" s="48"/>
      <c r="E321" s="48">
        <f>12000+12000</f>
        <v>24000</v>
      </c>
      <c r="F321" s="100"/>
      <c r="G321" s="49"/>
      <c r="H321" s="48">
        <f>F321+G321+(J138*B321)+(J140*B321)</f>
        <v>23187.688059784185</v>
      </c>
      <c r="I321" s="49"/>
      <c r="J321" s="48">
        <f t="shared" si="10"/>
        <v>23187.688059784185</v>
      </c>
      <c r="K321" s="70"/>
      <c r="L321" s="48">
        <f t="shared" si="11"/>
        <v>4637.5376119568364</v>
      </c>
      <c r="M321" s="48">
        <v>-35470</v>
      </c>
      <c r="N321" s="97">
        <f t="shared" si="12"/>
        <v>-16919.849552172651</v>
      </c>
      <c r="O321" s="98">
        <f>N321/O139</f>
        <v>-469.99582089368477</v>
      </c>
    </row>
    <row r="322" spans="1:15" x14ac:dyDescent="0.25">
      <c r="A322" s="104">
        <v>1005</v>
      </c>
      <c r="B322" s="78">
        <v>68.98</v>
      </c>
      <c r="C322" s="96">
        <f>[1]Hoja1!N688</f>
        <v>3129.2828604249662</v>
      </c>
      <c r="D322" s="73"/>
      <c r="E322" s="48">
        <v>0</v>
      </c>
      <c r="F322" s="72">
        <f>O138*B322*13</f>
        <v>7741.810818125472</v>
      </c>
      <c r="G322" s="49">
        <f>I139*1</f>
        <v>300</v>
      </c>
      <c r="H322" s="48">
        <f>F322+G322+(J138*B322)+(J140*B322)</f>
        <v>52116.947835593455</v>
      </c>
      <c r="I322" s="49"/>
      <c r="J322" s="48">
        <f t="shared" si="10"/>
        <v>52116.947835593455</v>
      </c>
      <c r="K322" s="70"/>
      <c r="L322" s="48">
        <f t="shared" si="11"/>
        <v>10423.389567118691</v>
      </c>
      <c r="M322" s="48">
        <v>3130</v>
      </c>
      <c r="N322" s="97">
        <f t="shared" si="12"/>
        <v>44823.558268474764</v>
      </c>
      <c r="O322" s="98">
        <f>N322/O139</f>
        <v>1245.0988407909656</v>
      </c>
    </row>
    <row r="323" spans="1:15" x14ac:dyDescent="0.25">
      <c r="A323" s="104">
        <v>1006</v>
      </c>
      <c r="B323" s="78">
        <v>94.44</v>
      </c>
      <c r="C323" s="96">
        <f>[1]Hoja1!N689</f>
        <v>46529.888432224478</v>
      </c>
      <c r="D323" s="73"/>
      <c r="E323" s="48">
        <v>46540</v>
      </c>
      <c r="F323" s="100"/>
      <c r="G323" s="49">
        <f>I139*1</f>
        <v>300</v>
      </c>
      <c r="H323" s="48">
        <f>F323+G323+(J138*B323)+(J140*B323)</f>
        <v>60642.939111766835</v>
      </c>
      <c r="I323" s="49"/>
      <c r="J323" s="48">
        <f t="shared" si="10"/>
        <v>60642.939111766835</v>
      </c>
      <c r="K323" s="70"/>
      <c r="L323" s="48">
        <f t="shared" si="11"/>
        <v>12128.587822353367</v>
      </c>
      <c r="M323" s="48">
        <v>-10</v>
      </c>
      <c r="N323" s="97">
        <f t="shared" si="12"/>
        <v>48504.351289413469</v>
      </c>
      <c r="O323" s="98">
        <f>N323/O139</f>
        <v>1347.3430913725963</v>
      </c>
    </row>
    <row r="324" spans="1:15" x14ac:dyDescent="0.25">
      <c r="A324" s="104">
        <v>1007</v>
      </c>
      <c r="B324" s="78">
        <v>57.47</v>
      </c>
      <c r="C324" s="96">
        <f>[1]Hoja1!N690</f>
        <v>34104.045752227052</v>
      </c>
      <c r="D324" s="73"/>
      <c r="E324" s="48">
        <v>34104</v>
      </c>
      <c r="F324" s="78"/>
      <c r="G324" s="49">
        <f>I139*1</f>
        <v>300</v>
      </c>
      <c r="H324" s="48">
        <f>F324+G324+(J138*B324)+(J140*B324)</f>
        <v>37020.761443808129</v>
      </c>
      <c r="I324" s="49"/>
      <c r="J324" s="48">
        <f t="shared" si="10"/>
        <v>37020.761443808129</v>
      </c>
      <c r="K324" s="70"/>
      <c r="L324" s="48">
        <f t="shared" si="11"/>
        <v>7404.1522887616256</v>
      </c>
      <c r="M324" s="48">
        <v>0</v>
      </c>
      <c r="N324" s="97">
        <f t="shared" si="12"/>
        <v>29616.609155046503</v>
      </c>
      <c r="O324" s="98">
        <f>N324/O139</f>
        <v>822.68358764018058</v>
      </c>
    </row>
    <row r="325" spans="1:15" x14ac:dyDescent="0.25">
      <c r="A325" s="104">
        <v>1008</v>
      </c>
      <c r="B325" s="78">
        <v>65.13</v>
      </c>
      <c r="C325" s="96">
        <f>[1]Hoja1!N691</f>
        <v>31071.58728918658</v>
      </c>
      <c r="D325" s="48"/>
      <c r="E325" s="48">
        <v>31072</v>
      </c>
      <c r="F325" s="100"/>
      <c r="G325" s="49">
        <f>I139*1</f>
        <v>300</v>
      </c>
      <c r="H325" s="48">
        <f>F325+G325+(J138*B325)+(J140*B325)</f>
        <v>41915.159088832843</v>
      </c>
      <c r="I325" s="49"/>
      <c r="J325" s="48">
        <f t="shared" si="10"/>
        <v>41915.159088832843</v>
      </c>
      <c r="K325" s="48">
        <v>1163</v>
      </c>
      <c r="L325" s="48">
        <f t="shared" si="11"/>
        <v>8383.0318177665686</v>
      </c>
      <c r="M325" s="48">
        <v>2318</v>
      </c>
      <c r="N325" s="97">
        <f t="shared" si="12"/>
        <v>37013.127271066274</v>
      </c>
      <c r="O325" s="98">
        <f>N325/O139</f>
        <v>1028.1424241962854</v>
      </c>
    </row>
    <row r="326" spans="1:15" x14ac:dyDescent="0.25">
      <c r="A326" s="104">
        <v>1009</v>
      </c>
      <c r="B326" s="78">
        <v>37.44</v>
      </c>
      <c r="C326" s="96">
        <f>[1]Hoja1!N692</f>
        <v>49779.307890647324</v>
      </c>
      <c r="D326" s="48"/>
      <c r="E326" s="48">
        <v>0</v>
      </c>
      <c r="F326" s="100"/>
      <c r="G326" s="49"/>
      <c r="H326" s="48">
        <f>F326+G326+(J138*B326)+(J140*B326)</f>
        <v>23922.486661844028</v>
      </c>
      <c r="I326" s="49">
        <f>H326*10/100</f>
        <v>2392.2486661844027</v>
      </c>
      <c r="J326" s="48">
        <f t="shared" si="10"/>
        <v>26314.73532802843</v>
      </c>
      <c r="K326" s="70"/>
      <c r="L326" s="48">
        <f t="shared" si="11"/>
        <v>5262.9470656056865</v>
      </c>
      <c r="M326" s="73">
        <v>59972</v>
      </c>
      <c r="N326" s="97">
        <f t="shared" si="12"/>
        <v>81023.78826242275</v>
      </c>
      <c r="O326" s="98">
        <f>N326/O139</f>
        <v>2250.6607850672985</v>
      </c>
    </row>
    <row r="327" spans="1:15" x14ac:dyDescent="0.25">
      <c r="A327" s="104">
        <v>1010</v>
      </c>
      <c r="B327" s="78">
        <v>57.8</v>
      </c>
      <c r="C327" s="96">
        <f>[1]Hoja1!N693</f>
        <v>28393.7838985872</v>
      </c>
      <c r="D327" s="48"/>
      <c r="E327" s="48">
        <v>28394</v>
      </c>
      <c r="F327" s="100"/>
      <c r="G327" s="49"/>
      <c r="H327" s="48">
        <f>F327+G327+(J138*B327)+(J140*B327)</f>
        <v>36931.616694833996</v>
      </c>
      <c r="I327" s="49"/>
      <c r="J327" s="48">
        <f t="shared" si="10"/>
        <v>36931.616694833996</v>
      </c>
      <c r="K327" s="70"/>
      <c r="L327" s="48">
        <f t="shared" si="11"/>
        <v>7386.3233389667994</v>
      </c>
      <c r="M327" s="48">
        <v>0</v>
      </c>
      <c r="N327" s="97">
        <f t="shared" si="12"/>
        <v>29545.293355867198</v>
      </c>
      <c r="O327" s="98">
        <f>N327/O139</f>
        <v>820.70259321853325</v>
      </c>
    </row>
    <row r="328" spans="1:15" x14ac:dyDescent="0.25">
      <c r="A328" s="104">
        <v>1011</v>
      </c>
      <c r="B328" s="78">
        <v>106.39</v>
      </c>
      <c r="C328" s="96">
        <f>[1]Hoja1!N694</f>
        <v>52263.229566966991</v>
      </c>
      <c r="D328" s="73"/>
      <c r="E328" s="48">
        <v>52270</v>
      </c>
      <c r="F328" s="100"/>
      <c r="G328" s="49"/>
      <c r="H328" s="48">
        <f>F328+G328+(J138*B328)+(J140*B328)</f>
        <v>67978.455020127847</v>
      </c>
      <c r="I328" s="49"/>
      <c r="J328" s="48">
        <f t="shared" si="10"/>
        <v>67978.455020127847</v>
      </c>
      <c r="K328" s="80"/>
      <c r="L328" s="48">
        <f t="shared" si="11"/>
        <v>13595.691004025568</v>
      </c>
      <c r="M328" s="48">
        <v>-7</v>
      </c>
      <c r="N328" s="97">
        <f t="shared" si="12"/>
        <v>54375.764016102279</v>
      </c>
      <c r="O328" s="98">
        <f>N328/O139</f>
        <v>1510.4378893361745</v>
      </c>
    </row>
    <row r="329" spans="1:15" x14ac:dyDescent="0.25">
      <c r="A329" s="104">
        <v>1013</v>
      </c>
      <c r="B329" s="78">
        <v>58.51</v>
      </c>
      <c r="C329" s="96">
        <f>[1]Hoja1!N695</f>
        <v>28742.565673120018</v>
      </c>
      <c r="D329" s="73"/>
      <c r="E329" s="48">
        <v>28743</v>
      </c>
      <c r="F329" s="100"/>
      <c r="G329" s="49"/>
      <c r="H329" s="48">
        <f>F329+G329+(J138*B329)+(J140*B329)</f>
        <v>37385.274962192685</v>
      </c>
      <c r="I329" s="49"/>
      <c r="J329" s="48">
        <f t="shared" si="10"/>
        <v>37385.274962192685</v>
      </c>
      <c r="K329" s="70"/>
      <c r="L329" s="48">
        <f t="shared" si="11"/>
        <v>7477.0549924385377</v>
      </c>
      <c r="M329" s="48">
        <v>-1</v>
      </c>
      <c r="N329" s="97">
        <f t="shared" si="12"/>
        <v>29907.219969754147</v>
      </c>
      <c r="O329" s="98">
        <f>N329/O139</f>
        <v>830.75611027094851</v>
      </c>
    </row>
    <row r="330" spans="1:15" x14ac:dyDescent="0.25">
      <c r="A330" s="104">
        <v>1014</v>
      </c>
      <c r="B330" s="78">
        <v>35.06</v>
      </c>
      <c r="C330" s="96">
        <f>[1]Hoja1!N696</f>
        <v>63253.236502299551</v>
      </c>
      <c r="D330" s="48"/>
      <c r="E330" s="48">
        <f>63253+14841</f>
        <v>78094</v>
      </c>
      <c r="F330" s="78"/>
      <c r="G330" s="49"/>
      <c r="H330" s="48">
        <f>F330+G330+(J138*B330)+(J140*B330)</f>
        <v>22401.773033233221</v>
      </c>
      <c r="I330" s="49"/>
      <c r="J330" s="48">
        <f t="shared" si="10"/>
        <v>22401.773033233221</v>
      </c>
      <c r="K330" s="70"/>
      <c r="L330" s="48">
        <f t="shared" si="11"/>
        <v>4480.3546066466442</v>
      </c>
      <c r="M330" s="48">
        <v>-14082</v>
      </c>
      <c r="N330" s="97">
        <f t="shared" si="12"/>
        <v>3839.418426586577</v>
      </c>
      <c r="O330" s="98">
        <f>N330/O139</f>
        <v>106.65051184962714</v>
      </c>
    </row>
    <row r="331" spans="1:15" x14ac:dyDescent="0.25">
      <c r="A331" s="104">
        <v>1015</v>
      </c>
      <c r="B331" s="102">
        <v>35.54</v>
      </c>
      <c r="C331" s="96">
        <f>[1]Hoja1!N697</f>
        <v>17447.738404079395</v>
      </c>
      <c r="D331" s="48"/>
      <c r="E331" s="48">
        <v>17450</v>
      </c>
      <c r="F331" s="100"/>
      <c r="G331" s="49"/>
      <c r="H331" s="48">
        <f>F331+G331+(J138*B331)+(J140*B331)</f>
        <v>22708.471580179936</v>
      </c>
      <c r="I331" s="49"/>
      <c r="J331" s="48">
        <f t="shared" si="10"/>
        <v>22708.471580179936</v>
      </c>
      <c r="K331" s="70"/>
      <c r="L331" s="48">
        <f t="shared" si="11"/>
        <v>4541.694316035987</v>
      </c>
      <c r="M331" s="48">
        <v>-2</v>
      </c>
      <c r="N331" s="97">
        <f t="shared" si="12"/>
        <v>18164.777264143948</v>
      </c>
      <c r="O331" s="98">
        <f>N331/O139</f>
        <v>504.57714622622075</v>
      </c>
    </row>
    <row r="332" spans="1:15" x14ac:dyDescent="0.25">
      <c r="A332" s="104">
        <v>1016</v>
      </c>
      <c r="B332" s="78">
        <v>65.64</v>
      </c>
      <c r="C332" s="96">
        <f>[1]Hoja1!N698</f>
        <v>32485.120676527054</v>
      </c>
      <c r="D332" s="73"/>
      <c r="E332" s="48">
        <f>928*35</f>
        <v>32480</v>
      </c>
      <c r="F332" s="100"/>
      <c r="G332" s="49">
        <f>I139*1</f>
        <v>300</v>
      </c>
      <c r="H332" s="48">
        <f>F332+G332+(J138*B332)+(J140*B332)</f>
        <v>42241.026294963733</v>
      </c>
      <c r="I332" s="49"/>
      <c r="J332" s="48">
        <f t="shared" si="10"/>
        <v>42241.026294963733</v>
      </c>
      <c r="K332" s="70"/>
      <c r="L332" s="48">
        <f t="shared" si="11"/>
        <v>8448.2052589927462</v>
      </c>
      <c r="M332" s="73">
        <v>6</v>
      </c>
      <c r="N332" s="97">
        <f t="shared" si="12"/>
        <v>33798.821035970985</v>
      </c>
      <c r="O332" s="98">
        <f>N332/O139</f>
        <v>938.85613988808291</v>
      </c>
    </row>
    <row r="333" spans="1:15" x14ac:dyDescent="0.25">
      <c r="A333" s="104">
        <v>1017</v>
      </c>
      <c r="B333" s="78">
        <v>62.21</v>
      </c>
      <c r="C333" s="96">
        <f>[1]Hoja1!N699</f>
        <v>36646.078236402383</v>
      </c>
      <c r="D333" s="48"/>
      <c r="E333" s="48">
        <v>36646</v>
      </c>
      <c r="F333" s="72">
        <f>O138*B333*13</f>
        <v>6981.9955203767122</v>
      </c>
      <c r="G333" s="49"/>
      <c r="H333" s="48">
        <f>F333+G333+(J138*B333)+(J140*B333)</f>
        <v>46731.405115283691</v>
      </c>
      <c r="I333" s="49"/>
      <c r="J333" s="48">
        <f t="shared" si="10"/>
        <v>46731.405115283691</v>
      </c>
      <c r="K333" s="70"/>
      <c r="L333" s="48">
        <f t="shared" si="11"/>
        <v>9346.2810230567375</v>
      </c>
      <c r="M333" s="48">
        <v>0</v>
      </c>
      <c r="N333" s="97">
        <f t="shared" si="12"/>
        <v>37385.12409222695</v>
      </c>
      <c r="O333" s="98">
        <f>N333/O139</f>
        <v>1038.4756692285264</v>
      </c>
    </row>
    <row r="334" spans="1:15" x14ac:dyDescent="0.25">
      <c r="A334" s="104">
        <v>1018</v>
      </c>
      <c r="B334" s="78">
        <v>39.04</v>
      </c>
      <c r="C334" s="96">
        <f>[1]Hoja1!N700</f>
        <v>64528.638607684683</v>
      </c>
      <c r="D334" s="48"/>
      <c r="E334" s="48">
        <v>8854</v>
      </c>
      <c r="F334" s="72">
        <f>O138*B334*13</f>
        <v>4381.5641394551812</v>
      </c>
      <c r="G334" s="49"/>
      <c r="H334" s="48">
        <f>F334+G334+(J138*B334)+(J140*B334)</f>
        <v>29326.379291121604</v>
      </c>
      <c r="I334" s="49"/>
      <c r="J334" s="48">
        <f t="shared" ref="J334:J346" si="13">H334+I334</f>
        <v>29326.379291121604</v>
      </c>
      <c r="K334" s="70"/>
      <c r="L334" s="48">
        <f t="shared" ref="L334:L346" si="14">SUM(J334)*20/100</f>
        <v>5865.2758582243205</v>
      </c>
      <c r="M334" s="48">
        <v>62000</v>
      </c>
      <c r="N334" s="97">
        <f t="shared" ref="N334:N345" si="15">J334+K334-L334+M334</f>
        <v>85461.103432897275</v>
      </c>
      <c r="O334" s="98">
        <f>N334/O139</f>
        <v>2373.9195398027023</v>
      </c>
    </row>
    <row r="335" spans="1:15" x14ac:dyDescent="0.25">
      <c r="A335" s="104">
        <v>1101</v>
      </c>
      <c r="B335" s="78">
        <v>87.1</v>
      </c>
      <c r="C335" s="96">
        <f>[1]Hoja1!N701</f>
        <v>43027.172622265483</v>
      </c>
      <c r="D335" s="73"/>
      <c r="E335" s="48">
        <v>43027</v>
      </c>
      <c r="F335" s="100"/>
      <c r="G335" s="49">
        <f>I139*1</f>
        <v>300</v>
      </c>
      <c r="H335" s="48">
        <f>F335+G335+(J138*B335)+(J140*B335)</f>
        <v>55953.007164706592</v>
      </c>
      <c r="I335" s="49"/>
      <c r="J335" s="48">
        <f t="shared" si="13"/>
        <v>55953.007164706592</v>
      </c>
      <c r="K335" s="70"/>
      <c r="L335" s="48">
        <f t="shared" si="14"/>
        <v>11190.601432941319</v>
      </c>
      <c r="M335" s="48">
        <v>0</v>
      </c>
      <c r="N335" s="97">
        <f t="shared" si="15"/>
        <v>44762.405731765277</v>
      </c>
      <c r="O335" s="98">
        <f>N335/O139</f>
        <v>1243.4001592157022</v>
      </c>
    </row>
    <row r="336" spans="1:15" x14ac:dyDescent="0.25">
      <c r="A336" s="104">
        <v>1102</v>
      </c>
      <c r="B336" s="78">
        <v>88.64</v>
      </c>
      <c r="C336" s="96">
        <f>[1]Hoja1!N702</f>
        <v>43782.685203646528</v>
      </c>
      <c r="D336" s="73"/>
      <c r="E336" s="48">
        <v>43783</v>
      </c>
      <c r="F336" s="100"/>
      <c r="G336" s="49">
        <f>I139*1</f>
        <v>300</v>
      </c>
      <c r="H336" s="48">
        <f>F336+G336+(J138*B336)+(J140*B336)</f>
        <v>56936.99833616065</v>
      </c>
      <c r="I336" s="49"/>
      <c r="J336" s="48">
        <f t="shared" si="13"/>
        <v>56936.99833616065</v>
      </c>
      <c r="K336" s="70"/>
      <c r="L336" s="48">
        <f t="shared" si="14"/>
        <v>11387.39966723213</v>
      </c>
      <c r="M336" s="48">
        <v>0</v>
      </c>
      <c r="N336" s="97">
        <f t="shared" si="15"/>
        <v>45549.59866892852</v>
      </c>
      <c r="O336" s="98">
        <f>N336/O139</f>
        <v>1265.266629692459</v>
      </c>
    </row>
    <row r="337" spans="1:15" x14ac:dyDescent="0.25">
      <c r="A337" s="104">
        <v>1103</v>
      </c>
      <c r="B337" s="78">
        <v>65.83</v>
      </c>
      <c r="C337" s="96">
        <f>[1]Hoja1!N703</f>
        <v>32578.45664435978</v>
      </c>
      <c r="D337" s="48"/>
      <c r="E337" s="48">
        <f>400*35+531*35</f>
        <v>32585</v>
      </c>
      <c r="F337" s="100"/>
      <c r="G337" s="49">
        <f>I139*1</f>
        <v>300</v>
      </c>
      <c r="H337" s="48">
        <f>F337+G337+(J138*B337)+(J140*B337)</f>
        <v>42362.427803130144</v>
      </c>
      <c r="I337" s="49"/>
      <c r="J337" s="48">
        <f t="shared" si="13"/>
        <v>42362.427803130144</v>
      </c>
      <c r="K337" s="70"/>
      <c r="L337" s="48">
        <f t="shared" si="14"/>
        <v>8472.4855606260298</v>
      </c>
      <c r="M337" s="48">
        <v>-7</v>
      </c>
      <c r="N337" s="97">
        <f t="shared" si="15"/>
        <v>33882.942242504112</v>
      </c>
      <c r="O337" s="98">
        <f>N337/O139</f>
        <v>941.19284006955866</v>
      </c>
    </row>
    <row r="338" spans="1:15" x14ac:dyDescent="0.25">
      <c r="A338" s="104">
        <v>1104</v>
      </c>
      <c r="B338" s="78">
        <v>89.07</v>
      </c>
      <c r="C338" s="96">
        <f>[1]Hoja1!N704</f>
        <v>52724.262313395928</v>
      </c>
      <c r="D338" s="73"/>
      <c r="E338" s="48">
        <v>52724</v>
      </c>
      <c r="F338" s="72">
        <f>O138*B338*13</f>
        <v>9996.5655200121146</v>
      </c>
      <c r="G338" s="49">
        <f>I139*1</f>
        <v>300</v>
      </c>
      <c r="H338" s="48">
        <f>F338+G338+(J138*B338)+(J140*B338)</f>
        <v>67208.314637812538</v>
      </c>
      <c r="I338" s="49"/>
      <c r="J338" s="48">
        <f t="shared" si="13"/>
        <v>67208.314637812538</v>
      </c>
      <c r="K338" s="70"/>
      <c r="L338" s="48">
        <f t="shared" si="14"/>
        <v>13441.662927562509</v>
      </c>
      <c r="M338" s="48">
        <v>1</v>
      </c>
      <c r="N338" s="97">
        <f t="shared" si="15"/>
        <v>53767.651710250029</v>
      </c>
      <c r="O338" s="98">
        <f>N338/O139</f>
        <v>1493.5458808402786</v>
      </c>
    </row>
    <row r="339" spans="1:15" x14ac:dyDescent="0.25">
      <c r="A339" s="104">
        <v>1105</v>
      </c>
      <c r="B339" s="78">
        <v>67.87</v>
      </c>
      <c r="C339" s="96">
        <f>[1]Hoja1!N705</f>
        <v>86051.649213093857</v>
      </c>
      <c r="D339" s="48"/>
      <c r="E339" s="48">
        <f>36000+18000</f>
        <v>54000</v>
      </c>
      <c r="F339" s="100"/>
      <c r="G339" s="49">
        <f>I139*1</f>
        <v>300</v>
      </c>
      <c r="H339" s="48">
        <f>F339+G339+(J138*B339)+(J140*B339)</f>
        <v>43665.896627653696</v>
      </c>
      <c r="I339" s="49"/>
      <c r="J339" s="48">
        <f t="shared" si="13"/>
        <v>43665.896627653696</v>
      </c>
      <c r="K339" s="70"/>
      <c r="L339" s="48">
        <f t="shared" si="14"/>
        <v>8733.1793255307384</v>
      </c>
      <c r="M339" s="78">
        <v>19773</v>
      </c>
      <c r="N339" s="97">
        <f t="shared" si="15"/>
        <v>54705.717302122954</v>
      </c>
      <c r="O339" s="98">
        <f>N339/O139</f>
        <v>1519.6032583923043</v>
      </c>
    </row>
    <row r="340" spans="1:15" x14ac:dyDescent="0.25">
      <c r="A340" s="104">
        <v>1106</v>
      </c>
      <c r="B340" s="78">
        <v>85.87</v>
      </c>
      <c r="C340" s="96">
        <f>[1]Hoja1!N706</f>
        <v>42182.945041032581</v>
      </c>
      <c r="D340" s="73"/>
      <c r="E340" s="48">
        <v>42183</v>
      </c>
      <c r="F340" s="100"/>
      <c r="G340" s="49"/>
      <c r="H340" s="48">
        <f>F340+G340+(J138*B340)+(J140*B340)</f>
        <v>54867.09213815564</v>
      </c>
      <c r="I340" s="49"/>
      <c r="J340" s="48">
        <f t="shared" si="13"/>
        <v>54867.09213815564</v>
      </c>
      <c r="K340" s="70"/>
      <c r="L340" s="48">
        <f t="shared" si="14"/>
        <v>10973.418427631128</v>
      </c>
      <c r="M340" s="78">
        <v>0</v>
      </c>
      <c r="N340" s="97">
        <f t="shared" si="15"/>
        <v>43893.673710524512</v>
      </c>
      <c r="O340" s="98">
        <f>N340/O139</f>
        <v>1219.2687141812364</v>
      </c>
    </row>
    <row r="341" spans="1:15" x14ac:dyDescent="0.25">
      <c r="A341" s="104">
        <v>1107</v>
      </c>
      <c r="B341" s="78">
        <v>48.11</v>
      </c>
      <c r="C341" s="96">
        <f>[1]Hoja1!N707</f>
        <v>23872.649539118167</v>
      </c>
      <c r="D341" s="48"/>
      <c r="E341" s="48">
        <v>23873</v>
      </c>
      <c r="F341" s="100"/>
      <c r="G341" s="49">
        <f>I139*1</f>
        <v>300</v>
      </c>
      <c r="H341" s="48">
        <f>F341+G341+(J138*B341)+(J140*B341)</f>
        <v>31040.139778347122</v>
      </c>
      <c r="I341" s="49"/>
      <c r="J341" s="48">
        <f t="shared" si="13"/>
        <v>31040.139778347122</v>
      </c>
      <c r="K341" s="70"/>
      <c r="L341" s="48">
        <f t="shared" si="14"/>
        <v>6208.027955669424</v>
      </c>
      <c r="M341" s="48">
        <v>0</v>
      </c>
      <c r="N341" s="97">
        <f t="shared" si="15"/>
        <v>24832.111822677696</v>
      </c>
      <c r="O341" s="98">
        <f>N341/O139</f>
        <v>689.78088396326939</v>
      </c>
    </row>
    <row r="342" spans="1:15" x14ac:dyDescent="0.25">
      <c r="A342" s="104">
        <v>1108</v>
      </c>
      <c r="B342" s="78">
        <v>91.43</v>
      </c>
      <c r="C342" s="96">
        <f>[1]Hoja1!N708</f>
        <v>45137.250204979719</v>
      </c>
      <c r="D342" s="73"/>
      <c r="E342" s="48">
        <f>1290*35</f>
        <v>45150</v>
      </c>
      <c r="F342" s="100"/>
      <c r="G342" s="49">
        <f>I139*1</f>
        <v>300</v>
      </c>
      <c r="H342" s="48">
        <f>F342+G342+(J138*B342)+(J140*B342)</f>
        <v>58719.683640288458</v>
      </c>
      <c r="I342" s="49"/>
      <c r="J342" s="48">
        <f t="shared" si="13"/>
        <v>58719.683640288458</v>
      </c>
      <c r="K342" s="70"/>
      <c r="L342" s="48">
        <f t="shared" si="14"/>
        <v>11743.936728057692</v>
      </c>
      <c r="M342" s="48">
        <v>-13</v>
      </c>
      <c r="N342" s="97">
        <f t="shared" si="15"/>
        <v>46962.746912230767</v>
      </c>
      <c r="O342" s="98">
        <f>N342/O139</f>
        <v>1304.5207475619657</v>
      </c>
    </row>
    <row r="343" spans="1:15" x14ac:dyDescent="0.25">
      <c r="A343" s="104">
        <v>1109</v>
      </c>
      <c r="B343" s="78">
        <v>88.26</v>
      </c>
      <c r="C343" s="96">
        <f>[1]Hoja1!N709</f>
        <v>43597.013267981078</v>
      </c>
      <c r="D343" s="73"/>
      <c r="E343" s="48">
        <v>43579</v>
      </c>
      <c r="F343" s="72"/>
      <c r="G343" s="49">
        <f>I139*1</f>
        <v>300</v>
      </c>
      <c r="H343" s="48">
        <f>F343+G343+(J138*B343)+(J140*B343)</f>
        <v>56694.195319827835</v>
      </c>
      <c r="I343" s="49"/>
      <c r="J343" s="48">
        <f t="shared" si="13"/>
        <v>56694.195319827835</v>
      </c>
      <c r="K343" s="70"/>
      <c r="L343" s="48">
        <f t="shared" si="14"/>
        <v>11338.839063965566</v>
      </c>
      <c r="M343" s="48">
        <v>18</v>
      </c>
      <c r="N343" s="97">
        <f t="shared" si="15"/>
        <v>45373.356255862265</v>
      </c>
      <c r="O343" s="98">
        <f>N343/O139</f>
        <v>1260.3710071072851</v>
      </c>
    </row>
    <row r="344" spans="1:15" x14ac:dyDescent="0.25">
      <c r="A344" s="104">
        <v>1110</v>
      </c>
      <c r="B344" s="78">
        <v>100.88</v>
      </c>
      <c r="C344" s="96">
        <f>[1]Hoja1!N710</f>
        <v>687019.13514979975</v>
      </c>
      <c r="D344" s="73"/>
      <c r="E344" s="48">
        <v>0</v>
      </c>
      <c r="F344" s="100"/>
      <c r="G344" s="49">
        <f>I139*1</f>
        <v>300</v>
      </c>
      <c r="H344" s="48">
        <f>F344+G344+(J138*B344)+(J140*B344)</f>
        <v>64757.81128330197</v>
      </c>
      <c r="I344" s="49">
        <f>H344*10/100</f>
        <v>6475.7811283301971</v>
      </c>
      <c r="J344" s="48">
        <f t="shared" si="13"/>
        <v>71233.592411632169</v>
      </c>
      <c r="K344" s="70"/>
      <c r="L344" s="48">
        <f t="shared" si="14"/>
        <v>14246.718482326434</v>
      </c>
      <c r="M344" s="48">
        <v>825800</v>
      </c>
      <c r="N344" s="97">
        <f t="shared" si="15"/>
        <v>882786.8739293057</v>
      </c>
      <c r="O344" s="98">
        <f>N344/O139</f>
        <v>24521.857609147381</v>
      </c>
    </row>
    <row r="345" spans="1:15" x14ac:dyDescent="0.25">
      <c r="A345" s="104">
        <v>1111</v>
      </c>
      <c r="B345" s="78">
        <v>112.27</v>
      </c>
      <c r="C345" s="96">
        <f>[1]Hoja1!N711</f>
        <v>-4201.198945492768</v>
      </c>
      <c r="D345" s="73"/>
      <c r="E345" s="48"/>
      <c r="F345" s="72">
        <f>O138*B345*13</f>
        <v>12600.363881573596</v>
      </c>
      <c r="G345" s="49">
        <f>I139*1</f>
        <v>300</v>
      </c>
      <c r="H345" s="48">
        <f>F345+G345+(J138*B345)+(J140*B345)</f>
        <v>84635.876101798727</v>
      </c>
      <c r="I345" s="49"/>
      <c r="J345" s="48">
        <f t="shared" si="13"/>
        <v>84635.876101798727</v>
      </c>
      <c r="K345" s="80"/>
      <c r="L345" s="48">
        <f t="shared" si="14"/>
        <v>16927.175220359746</v>
      </c>
      <c r="M345" s="48">
        <v>-4201</v>
      </c>
      <c r="N345" s="97">
        <f t="shared" si="15"/>
        <v>63507.700881438985</v>
      </c>
      <c r="O345" s="98">
        <f>N345/O139</f>
        <v>1764.102802262194</v>
      </c>
    </row>
    <row r="346" spans="1:15" x14ac:dyDescent="0.25">
      <c r="A346" s="104" t="s">
        <v>136</v>
      </c>
      <c r="B346" s="72">
        <f>SUM(B142:B345)</f>
        <v>11457.499999999995</v>
      </c>
      <c r="C346" s="96" t="e">
        <f>#REF!</f>
        <v>#REF!</v>
      </c>
      <c r="D346" s="105"/>
      <c r="E346" s="72">
        <f t="shared" ref="E346:O346" si="16">SUM(E142:E345)</f>
        <v>5170115.6900000004</v>
      </c>
      <c r="F346" s="72">
        <f t="shared" si="16"/>
        <v>163413.03837934256</v>
      </c>
      <c r="G346" s="49">
        <f>I139*1</f>
        <v>300</v>
      </c>
      <c r="H346" s="85">
        <f>F346+G346+(J138*B346)+(J140*B346)</f>
        <v>7484543.4584668921</v>
      </c>
      <c r="I346" s="78">
        <f t="shared" si="16"/>
        <v>56137.438127318601</v>
      </c>
      <c r="J346" s="85">
        <f t="shared" si="13"/>
        <v>7540680.8965942105</v>
      </c>
      <c r="K346" s="78">
        <f>SUM(K142:K345)</f>
        <v>4886</v>
      </c>
      <c r="L346" s="73">
        <f t="shared" si="14"/>
        <v>1508136.179318842</v>
      </c>
      <c r="M346" s="72">
        <f t="shared" si="16"/>
        <v>3303462</v>
      </c>
      <c r="N346" s="97">
        <f>J346-L346+K346+M346</f>
        <v>9340892.717275368</v>
      </c>
      <c r="O346" s="96">
        <f t="shared" si="16"/>
        <v>243307.14376116666</v>
      </c>
    </row>
    <row r="347" spans="1:15" x14ac:dyDescent="0.25">
      <c r="A347" s="106"/>
      <c r="B347" s="78">
        <f>SUM(B175:B345)</f>
        <v>9689.2699999999968</v>
      </c>
      <c r="F347" s="107">
        <f>B179+B181+B206+B208+B234+B236+B242+B254+B257+B265+B268+B273+B280+B286+B287+B289+B294+B300+B309+B312+B316+B323+B324+B330+B332+B345</f>
        <v>1528.11</v>
      </c>
      <c r="G347" s="108"/>
      <c r="N347" s="109">
        <f>N346-M346</f>
        <v>6037430.717275368</v>
      </c>
    </row>
    <row r="348" spans="1:15" ht="15.75" thickBot="1" x14ac:dyDescent="0.3">
      <c r="A348" s="13" t="s">
        <v>137</v>
      </c>
      <c r="B348" s="13"/>
    </row>
    <row r="349" spans="1:15" ht="15.75" thickBot="1" x14ac:dyDescent="0.3">
      <c r="A349" s="13" t="s">
        <v>138</v>
      </c>
      <c r="B349" s="13"/>
      <c r="M349" s="110">
        <f>O139</f>
        <v>36</v>
      </c>
    </row>
    <row r="350" spans="1:15" x14ac:dyDescent="0.25">
      <c r="A350" s="13" t="s">
        <v>139</v>
      </c>
      <c r="B350" s="13"/>
    </row>
    <row r="351" spans="1:15" x14ac:dyDescent="0.25">
      <c r="A351" s="13" t="s">
        <v>140</v>
      </c>
      <c r="B351" s="13"/>
    </row>
    <row r="352" spans="1:15" x14ac:dyDescent="0.25">
      <c r="A352" t="s">
        <v>141</v>
      </c>
    </row>
    <row r="353" spans="1:7" x14ac:dyDescent="0.25">
      <c r="A353" t="s">
        <v>142</v>
      </c>
    </row>
    <row r="354" spans="1:7" x14ac:dyDescent="0.25">
      <c r="A354" t="s">
        <v>143</v>
      </c>
    </row>
    <row r="355" spans="1:7" x14ac:dyDescent="0.25">
      <c r="A355" s="33" t="s">
        <v>144</v>
      </c>
    </row>
    <row r="356" spans="1:7" ht="20.25" x14ac:dyDescent="0.3">
      <c r="A356" s="5" t="s">
        <v>145</v>
      </c>
      <c r="B356" s="1"/>
      <c r="C356" s="2"/>
      <c r="D356" s="2"/>
      <c r="G356" s="3" t="s">
        <v>146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Lomiento</dc:creator>
  <cp:lastModifiedBy>Fabiana</cp:lastModifiedBy>
  <dcterms:created xsi:type="dcterms:W3CDTF">2019-09-02T16:36:59Z</dcterms:created>
  <dcterms:modified xsi:type="dcterms:W3CDTF">2019-09-03T15:43:37Z</dcterms:modified>
</cp:coreProperties>
</file>