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5745" windowWidth="20730" windowHeight="6480"/>
  </bookViews>
  <sheets>
    <sheet name="Hoja1" sheetId="1" r:id="rId1"/>
    <sheet name="Hoja4" sheetId="4" r:id="rId2"/>
    <sheet name="Hoja2" sheetId="2" r:id="rId3"/>
    <sheet name="Hoja3" sheetId="3" r:id="rId4"/>
    <sheet name="Hoja5" sheetId="5" r:id="rId5"/>
  </sheets>
  <calcPr calcId="144525"/>
</workbook>
</file>

<file path=xl/calcChain.xml><?xml version="1.0" encoding="utf-8"?>
<calcChain xmlns="http://schemas.openxmlformats.org/spreadsheetml/2006/main">
  <c r="K144" i="1" l="1"/>
  <c r="K262" i="1" l="1"/>
  <c r="J262" i="1"/>
  <c r="I262" i="1"/>
  <c r="H262" i="1"/>
  <c r="G262" i="1"/>
  <c r="K168" i="1"/>
  <c r="K204" i="1" l="1"/>
  <c r="K201" i="1"/>
  <c r="K206" i="1"/>
  <c r="K200" i="1"/>
  <c r="K138" i="1"/>
  <c r="F296" i="1"/>
  <c r="F295" i="1"/>
  <c r="K135" i="1"/>
  <c r="K108" i="1"/>
  <c r="K158" i="1"/>
  <c r="K141" i="1"/>
  <c r="K137" i="1"/>
  <c r="J204" i="1"/>
  <c r="J206" i="1"/>
  <c r="J201" i="1"/>
  <c r="J144" i="1"/>
  <c r="J171" i="1"/>
  <c r="J155" i="1"/>
  <c r="J158" i="1"/>
  <c r="J97" i="1"/>
  <c r="J117" i="1"/>
  <c r="J99" i="1"/>
  <c r="J138" i="1"/>
  <c r="J137" i="1"/>
  <c r="J135" i="1"/>
  <c r="J168" i="1"/>
  <c r="I201" i="1"/>
  <c r="I206" i="1"/>
  <c r="I210" i="1"/>
  <c r="I200" i="1"/>
  <c r="I166" i="1"/>
  <c r="I158" i="1"/>
  <c r="I137" i="1"/>
  <c r="I135" i="1"/>
  <c r="I169" i="1"/>
  <c r="I138" i="1"/>
  <c r="I141" i="1"/>
  <c r="I126" i="1"/>
  <c r="I144" i="1"/>
  <c r="I153" i="1"/>
  <c r="H144" i="1" l="1"/>
  <c r="H201" i="1" l="1"/>
  <c r="H200" i="1"/>
  <c r="H155" i="1" l="1"/>
  <c r="H206" i="1"/>
  <c r="H118" i="1"/>
  <c r="H121" i="1"/>
  <c r="H96" i="1"/>
  <c r="H124" i="1"/>
  <c r="H100" i="1"/>
  <c r="H112" i="1"/>
  <c r="H109" i="1"/>
  <c r="H106" i="1"/>
  <c r="H103" i="1"/>
  <c r="H130" i="1"/>
  <c r="H127" i="1"/>
  <c r="H115" i="1"/>
  <c r="H158" i="1"/>
  <c r="H135" i="1"/>
  <c r="H108" i="1"/>
  <c r="H123" i="1"/>
  <c r="F291" i="1"/>
  <c r="H138" i="1"/>
  <c r="H137" i="1"/>
  <c r="G214" i="1" l="1"/>
  <c r="G210" i="1"/>
  <c r="G201" i="1"/>
  <c r="G231" i="1"/>
  <c r="G146" i="1"/>
  <c r="G168" i="1" l="1"/>
  <c r="G144" i="1"/>
  <c r="G159" i="1"/>
  <c r="G155" i="1"/>
  <c r="G158" i="1" l="1"/>
  <c r="G160" i="1"/>
  <c r="G141" i="1"/>
  <c r="G135" i="1"/>
  <c r="G138" i="1"/>
  <c r="G137" i="1" l="1"/>
  <c r="F201" i="1" l="1"/>
  <c r="F155" i="1"/>
  <c r="F97" i="1"/>
  <c r="F144" i="1"/>
  <c r="F137" i="1" l="1"/>
  <c r="F106" i="1"/>
  <c r="F141" i="1" l="1"/>
  <c r="F135" i="1"/>
  <c r="F200" i="1"/>
  <c r="F138" i="1"/>
  <c r="K221" i="1" l="1"/>
  <c r="K174" i="1"/>
  <c r="K175" i="1"/>
  <c r="K88" i="1"/>
  <c r="K73" i="1"/>
  <c r="K76" i="1"/>
  <c r="K85" i="1"/>
  <c r="K61" i="1"/>
  <c r="K51" i="1" l="1"/>
  <c r="K75" i="1"/>
  <c r="K188" i="1" l="1"/>
  <c r="K56" i="1"/>
  <c r="K57" i="1" l="1"/>
  <c r="J61" i="1"/>
  <c r="J75" i="1" l="1"/>
  <c r="J31" i="1"/>
  <c r="J85" i="1"/>
  <c r="J74" i="1"/>
  <c r="J52" i="1"/>
  <c r="J175" i="1"/>
  <c r="J57" i="1"/>
  <c r="J56" i="1"/>
  <c r="J222" i="1"/>
  <c r="I221" i="1"/>
  <c r="I61" i="1"/>
  <c r="I75" i="1" l="1"/>
  <c r="I51" i="1" l="1"/>
  <c r="I85" i="1"/>
  <c r="I223" i="1" l="1"/>
  <c r="I178" i="1"/>
  <c r="I191" i="1" l="1"/>
  <c r="I174" i="1"/>
  <c r="I56" i="1"/>
  <c r="I74" i="1"/>
  <c r="I57" i="1" l="1"/>
  <c r="I72" i="1"/>
  <c r="H223" i="1" l="1"/>
  <c r="H221" i="1"/>
  <c r="H174" i="1"/>
  <c r="H61" i="1"/>
  <c r="G179" i="1" l="1"/>
  <c r="H85" i="1" l="1"/>
  <c r="H195" i="1"/>
  <c r="H56" i="1"/>
  <c r="H52" i="1"/>
  <c r="H57" i="1"/>
  <c r="G74" i="1"/>
  <c r="G61" i="1"/>
  <c r="G85" i="1"/>
  <c r="G52" i="1"/>
  <c r="G178" i="1"/>
  <c r="G191" i="1"/>
  <c r="G76" i="1"/>
  <c r="G56" i="1"/>
  <c r="G73" i="1"/>
  <c r="G66" i="1"/>
  <c r="G57" i="1"/>
  <c r="F289" i="1"/>
  <c r="F85" i="1" l="1"/>
  <c r="F51" i="1"/>
  <c r="F175" i="1" l="1"/>
  <c r="F174" i="1"/>
  <c r="F178" i="1"/>
  <c r="F74" i="1"/>
  <c r="F61" i="1"/>
  <c r="F11" i="1"/>
  <c r="F88" i="1"/>
  <c r="F52" i="1"/>
  <c r="F56" i="1" l="1"/>
  <c r="F75" i="1"/>
  <c r="F57" i="1" l="1"/>
  <c r="F380" i="1" l="1"/>
  <c r="F379" i="1"/>
  <c r="F301" i="1" l="1"/>
  <c r="F382" i="1" l="1"/>
  <c r="F388" i="1"/>
  <c r="G90" i="1" l="1"/>
  <c r="K90" i="1"/>
  <c r="I90" i="1"/>
  <c r="H90" i="1"/>
  <c r="J90" i="1"/>
  <c r="I171" i="1"/>
  <c r="G171" i="1"/>
  <c r="K171" i="1"/>
  <c r="F171" i="1"/>
  <c r="H171" i="1"/>
  <c r="F90" i="1" l="1"/>
  <c r="F381" i="1"/>
  <c r="F369" i="1" l="1"/>
  <c r="F360" i="1"/>
  <c r="F344" i="1" l="1"/>
  <c r="F293" i="1"/>
  <c r="F292" i="1"/>
  <c r="F290" i="1"/>
  <c r="F294" i="1"/>
  <c r="F288" i="1"/>
  <c r="F287" i="1"/>
  <c r="F286" i="1"/>
  <c r="F285" i="1"/>
  <c r="F284" i="1"/>
  <c r="F283" i="1"/>
  <c r="F366" i="1"/>
  <c r="F352" i="1"/>
  <c r="F349" i="1"/>
  <c r="F348" i="1"/>
  <c r="F345" i="1"/>
  <c r="F343" i="1"/>
  <c r="F341" i="1"/>
  <c r="F336" i="1"/>
  <c r="F334" i="1"/>
  <c r="F332" i="1"/>
  <c r="F331" i="1"/>
  <c r="F330" i="1"/>
  <c r="F329" i="1"/>
  <c r="F328" i="1"/>
  <c r="F327" i="1"/>
  <c r="F326" i="1"/>
  <c r="F356" i="1"/>
  <c r="F323" i="1"/>
  <c r="F322" i="1"/>
  <c r="F321" i="1"/>
  <c r="F316" i="1"/>
  <c r="F315" i="1"/>
  <c r="F310" i="1"/>
  <c r="F309" i="1"/>
  <c r="F308" i="1"/>
  <c r="F307" i="1"/>
  <c r="F306" i="1"/>
  <c r="F302" i="1"/>
  <c r="F300" i="1"/>
  <c r="F299" i="1"/>
  <c r="F197" i="1" l="1"/>
  <c r="I197" i="1"/>
  <c r="G216" i="1"/>
  <c r="H216" i="1"/>
  <c r="I216" i="1"/>
  <c r="F225" i="1"/>
  <c r="G225" i="1"/>
  <c r="H225" i="1"/>
  <c r="I225" i="1"/>
  <c r="G234" i="1"/>
  <c r="F234" i="1"/>
  <c r="H234" i="1"/>
  <c r="I234" i="1"/>
  <c r="F241" i="1"/>
  <c r="G241" i="1"/>
  <c r="H241" i="1"/>
  <c r="I241" i="1"/>
  <c r="F248" i="1"/>
  <c r="G248" i="1"/>
  <c r="H248" i="1"/>
  <c r="I248" i="1"/>
  <c r="F275" i="1"/>
  <c r="F259" i="1"/>
  <c r="F273" i="1"/>
  <c r="F277" i="1"/>
  <c r="F333" i="1"/>
  <c r="F335" i="1"/>
  <c r="F342" i="1"/>
  <c r="F346" i="1"/>
  <c r="F347" i="1"/>
  <c r="F350" i="1"/>
  <c r="F351" i="1"/>
  <c r="F367" i="1"/>
  <c r="F368" i="1"/>
  <c r="F377" i="1"/>
  <c r="F378" i="1"/>
  <c r="F383" i="1"/>
  <c r="F384" i="1"/>
  <c r="F385" i="1"/>
  <c r="F386" i="1"/>
  <c r="F387" i="1"/>
  <c r="F389" i="1"/>
  <c r="F394" i="1"/>
  <c r="F395" i="1"/>
  <c r="F396" i="1"/>
  <c r="F402" i="1"/>
  <c r="H404" i="1"/>
  <c r="F410" i="1"/>
  <c r="F413" i="1"/>
  <c r="F414" i="1"/>
  <c r="F420" i="1"/>
  <c r="F422" i="1"/>
  <c r="F423" i="1"/>
  <c r="F317" i="1" l="1"/>
  <c r="F303" i="1"/>
  <c r="G259" i="1"/>
  <c r="G197" i="1"/>
  <c r="H197" i="1"/>
  <c r="F216" i="1"/>
  <c r="F397" i="1"/>
  <c r="H259" i="1" l="1"/>
  <c r="I252" i="1" s="1"/>
  <c r="R63" i="4"/>
  <c r="G74" i="4"/>
  <c r="C63" i="4"/>
  <c r="C39" i="4"/>
  <c r="C32" i="4"/>
  <c r="C20" i="4"/>
  <c r="I259" i="1" l="1"/>
  <c r="F365" i="1"/>
  <c r="F361" i="1"/>
  <c r="F362" i="1" s="1"/>
  <c r="K197" i="1"/>
  <c r="F390" i="1"/>
  <c r="F403" i="1"/>
  <c r="J216" i="1"/>
  <c r="K216" i="1"/>
  <c r="F411" i="1"/>
  <c r="J234" i="1"/>
  <c r="K234" i="1"/>
  <c r="J241" i="1"/>
  <c r="J248" i="1"/>
  <c r="K248" i="1"/>
  <c r="F274" i="1"/>
  <c r="J283" i="1" l="1"/>
  <c r="G295" i="1" s="1"/>
  <c r="F412" i="1"/>
  <c r="F276" i="1"/>
  <c r="H274" i="1" s="1"/>
  <c r="F415" i="1"/>
  <c r="F391" i="1"/>
  <c r="K241" i="1"/>
  <c r="J420" i="1" s="1"/>
  <c r="F421" i="1"/>
  <c r="F370" i="1"/>
  <c r="F404" i="1"/>
  <c r="F357" i="1"/>
  <c r="K225" i="1"/>
  <c r="J197" i="1"/>
  <c r="J259" i="1"/>
  <c r="J225" i="1"/>
  <c r="G351" i="1" l="1"/>
  <c r="G291" i="1"/>
  <c r="G352" i="1"/>
  <c r="G349" i="1"/>
  <c r="K259" i="1"/>
  <c r="F269" i="1" s="1"/>
  <c r="G269" i="1" s="1"/>
  <c r="H269" i="1" s="1"/>
  <c r="I269" i="1" s="1"/>
  <c r="J269" i="1" s="1"/>
  <c r="K269" i="1" s="1"/>
  <c r="F416" i="1"/>
  <c r="J413" i="1" s="1"/>
  <c r="H415" i="1" s="1"/>
  <c r="F406" i="1"/>
  <c r="J387" i="1" s="1"/>
  <c r="I274" i="1"/>
  <c r="G273" i="1"/>
  <c r="G277" i="1"/>
  <c r="G275" i="1"/>
  <c r="G274" i="1"/>
  <c r="G422" i="1"/>
  <c r="G423" i="1"/>
  <c r="G420" i="1"/>
  <c r="F337" i="1"/>
  <c r="G421" i="1"/>
  <c r="F424" i="1"/>
  <c r="J423" i="1" s="1"/>
  <c r="H421" i="1" s="1"/>
  <c r="F324" i="1"/>
  <c r="F353" i="1"/>
  <c r="G276" i="1"/>
  <c r="F311" i="1"/>
  <c r="J383" i="1"/>
  <c r="J410" i="1"/>
  <c r="G415" i="1" s="1"/>
  <c r="J377" i="1"/>
  <c r="G380" i="1" l="1"/>
  <c r="G377" i="1"/>
  <c r="F312" i="1"/>
  <c r="G290" i="1"/>
  <c r="G283" i="1"/>
  <c r="G424" i="1"/>
  <c r="G321" i="1"/>
  <c r="G343" i="1"/>
  <c r="G345" i="1"/>
  <c r="G331" i="1"/>
  <c r="G306" i="1"/>
  <c r="F338" i="1"/>
  <c r="G326" i="1"/>
  <c r="G323" i="1"/>
  <c r="G381" i="1"/>
  <c r="G385" i="1"/>
  <c r="G389" i="1"/>
  <c r="G383" i="1"/>
  <c r="G387" i="1"/>
  <c r="G379" i="1"/>
  <c r="G402" i="1"/>
  <c r="G396" i="1"/>
  <c r="G384" i="1"/>
  <c r="G386" i="1"/>
  <c r="G395" i="1"/>
  <c r="G382" i="1"/>
  <c r="G394" i="1"/>
  <c r="G388" i="1"/>
  <c r="G378" i="1"/>
  <c r="G403" i="1"/>
  <c r="G390" i="1"/>
  <c r="G414" i="1"/>
  <c r="G413" i="1"/>
  <c r="G410" i="1"/>
  <c r="G411" i="1"/>
  <c r="G412" i="1"/>
  <c r="G334" i="1"/>
  <c r="I416" i="1"/>
  <c r="H410" i="1"/>
  <c r="H414" i="1"/>
  <c r="H411" i="1"/>
  <c r="G310" i="1"/>
  <c r="G368" i="1"/>
  <c r="G307" i="1"/>
  <c r="G309" i="1"/>
  <c r="G367" i="1"/>
  <c r="G346" i="1"/>
  <c r="G342" i="1"/>
  <c r="G299" i="1"/>
  <c r="G322" i="1"/>
  <c r="G347" i="1"/>
  <c r="G333" i="1"/>
  <c r="G327" i="1"/>
  <c r="G302" i="1"/>
  <c r="G335" i="1"/>
  <c r="G316" i="1"/>
  <c r="G315" i="1"/>
  <c r="G348" i="1"/>
  <c r="G301" i="1"/>
  <c r="G350" i="1"/>
  <c r="G300" i="1"/>
  <c r="G304" i="1"/>
  <c r="G336" i="1"/>
  <c r="G288" i="1"/>
  <c r="G284" i="1"/>
  <c r="G330" i="1"/>
  <c r="G329" i="1"/>
  <c r="G285" i="1"/>
  <c r="G356" i="1"/>
  <c r="G357" i="1" s="1"/>
  <c r="G360" i="1"/>
  <c r="G286" i="1"/>
  <c r="G365" i="1"/>
  <c r="G369" i="1"/>
  <c r="G341" i="1"/>
  <c r="G292" i="1"/>
  <c r="G361" i="1"/>
  <c r="G293" i="1"/>
  <c r="G308" i="1"/>
  <c r="G344" i="1"/>
  <c r="G287" i="1"/>
  <c r="G366" i="1"/>
  <c r="G294" i="1"/>
  <c r="G328" i="1"/>
  <c r="G289" i="1"/>
  <c r="I424" i="1"/>
  <c r="H422" i="1"/>
  <c r="H424" i="1" s="1"/>
  <c r="G332" i="1"/>
  <c r="H277" i="1"/>
  <c r="J380" i="1"/>
  <c r="K274" i="1"/>
  <c r="K384" i="1"/>
  <c r="G296" i="1" l="1"/>
  <c r="F372" i="1"/>
  <c r="G353" i="1"/>
  <c r="G337" i="1"/>
  <c r="G311" i="1"/>
  <c r="G324" i="1"/>
  <c r="G303" i="1"/>
  <c r="G317" i="1"/>
  <c r="G362" i="1"/>
  <c r="G397" i="1"/>
  <c r="G370" i="1"/>
  <c r="H416" i="1"/>
  <c r="G313" i="1"/>
  <c r="I406" i="1"/>
  <c r="H384" i="1"/>
  <c r="H379" i="1"/>
  <c r="H383" i="1"/>
  <c r="H387" i="1"/>
  <c r="H386" i="1"/>
  <c r="H389" i="1"/>
  <c r="H382" i="1"/>
  <c r="H385" i="1"/>
  <c r="H396" i="1"/>
  <c r="H397" i="1" s="1"/>
  <c r="H377" i="1"/>
  <c r="H381" i="1"/>
  <c r="H388" i="1"/>
  <c r="H378" i="1"/>
  <c r="H390" i="1"/>
  <c r="H380" i="1"/>
  <c r="G416" i="1"/>
  <c r="G404" i="1"/>
  <c r="G391" i="1"/>
  <c r="K388" i="1"/>
  <c r="J392" i="1"/>
  <c r="J393" i="1" s="1"/>
  <c r="G312" i="1" l="1"/>
  <c r="G338" i="1"/>
  <c r="H391" i="1"/>
  <c r="H406" i="1" s="1"/>
  <c r="J396" i="1"/>
  <c r="J397" i="1" s="1"/>
  <c r="K393" i="1" s="1"/>
  <c r="K397" i="1" l="1"/>
</calcChain>
</file>

<file path=xl/sharedStrings.xml><?xml version="1.0" encoding="utf-8"?>
<sst xmlns="http://schemas.openxmlformats.org/spreadsheetml/2006/main" count="521" uniqueCount="318">
  <si>
    <t>NOVIEMBRE</t>
  </si>
  <si>
    <t>SETIEMBRE</t>
  </si>
  <si>
    <t>OCTUBRE</t>
  </si>
  <si>
    <t>EGRESOS DOLARES</t>
  </si>
  <si>
    <t>TOTALES</t>
  </si>
  <si>
    <t>INGRESOS PESOS URUGUAYOS</t>
  </si>
  <si>
    <t>CAJA EFECTIVO - PESOS URUGUAYOS</t>
  </si>
  <si>
    <t>SALDO FINAL</t>
  </si>
  <si>
    <t>EDIFICIO TORRE ANTARES</t>
  </si>
  <si>
    <t>EGRESOS LIQUIDOS PESOS URUGUAYOS</t>
  </si>
  <si>
    <t>Saldo Inicial</t>
  </si>
  <si>
    <t>Ingresos varios</t>
  </si>
  <si>
    <t>EGRESOS PERIODO</t>
  </si>
  <si>
    <t>INGRESOS PERIODO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</si>
  <si>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</si>
  <si>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</si>
  <si>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</si>
  <si>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</si>
  <si>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</si>
  <si>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</si>
  <si>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</si>
  <si>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</si>
  <si>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</si>
  <si>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Medio Aguinaldo Andrea Lima</t>
  </si>
  <si>
    <t>Sueldo Líquido Mucama Andrea Lima</t>
  </si>
  <si>
    <t>Tickets Alimentación de Personal</t>
  </si>
  <si>
    <t>B.S.E. Seguro de Accidentes</t>
  </si>
  <si>
    <t>B.P.S. Aportes Patronales y Obreros</t>
  </si>
  <si>
    <t>UTE suministro de energía</t>
  </si>
  <si>
    <t>ANTEL servicios telefónicos</t>
  </si>
  <si>
    <t>OSE aguas corrientes</t>
  </si>
  <si>
    <t>Correspondencia</t>
  </si>
  <si>
    <t>Service Ascensores</t>
  </si>
  <si>
    <t>Transferencias Banco a Banco</t>
  </si>
  <si>
    <t>Honorarios, Gastos e IVA Escribanía</t>
  </si>
  <si>
    <t>Papelería, Fotocopias y sobres</t>
  </si>
  <si>
    <t>Honorarios Profesionales Administración</t>
  </si>
  <si>
    <t>IVA sobre honorarios profesionales</t>
  </si>
  <si>
    <t>Servicio Barométrico y Limpieza Cañerías</t>
  </si>
  <si>
    <t>Electricidad, materiales y mano de obra</t>
  </si>
  <si>
    <t>Abono Servicio Emergencia Movil</t>
  </si>
  <si>
    <t>Barraca y Ferretería</t>
  </si>
  <si>
    <t>Carpintería, compras, materiales y mano de obra</t>
  </si>
  <si>
    <t>Cerrajería</t>
  </si>
  <si>
    <t>Uniformes de Personal</t>
  </si>
  <si>
    <t>Canastas Navideñas a personal</t>
  </si>
  <si>
    <t>Recarga y Compra de extintores de incencio</t>
  </si>
  <si>
    <t>Vidriería</t>
  </si>
  <si>
    <t>Imprenta</t>
  </si>
  <si>
    <t>Tasa Municipal de Ascensores</t>
  </si>
  <si>
    <t>Limpieza Anual de Tanques de Agua</t>
  </si>
  <si>
    <t>Salida para caja efectivo</t>
  </si>
  <si>
    <t>Cambio de Moneda para pagos</t>
  </si>
  <si>
    <t>Banco y Servicio Bancomat</t>
  </si>
  <si>
    <t>Arreglos y compra de artículos de piscina</t>
  </si>
  <si>
    <t>Barraca de Maderas, tirantes y cielo raso baños</t>
  </si>
  <si>
    <t>Pago por trabajos contratados para obras</t>
  </si>
  <si>
    <t>Cerámicas y grifería</t>
  </si>
  <si>
    <t>Válvulas de riego</t>
  </si>
  <si>
    <t>Cambio de Bomba de agua, caños y llaves</t>
  </si>
  <si>
    <t>Saldo ejercicio anterior</t>
  </si>
  <si>
    <t>Cobrado por Gastos Comunes</t>
  </si>
  <si>
    <t>Otros ingresos (transferencias-reintegros, etc)</t>
  </si>
  <si>
    <t>Cambio de Dólares</t>
  </si>
  <si>
    <t>Intereses bancarios</t>
  </si>
  <si>
    <t>Saldo mensual inicial</t>
  </si>
  <si>
    <t>INGRESOS DOLARES</t>
  </si>
  <si>
    <t>Cobrado por Gastos Comunes y otros conceptos</t>
  </si>
  <si>
    <t>Intereses Bancarios</t>
  </si>
  <si>
    <t>Entrado transferencia Banco a Banco</t>
  </si>
  <si>
    <t>Caños Termofusión</t>
  </si>
  <si>
    <t>Cheque Devuelto Propietario</t>
  </si>
  <si>
    <t>Propietarios pagos particulares</t>
  </si>
  <si>
    <t>Mucama Sra. Andrea Lima</t>
  </si>
  <si>
    <t>Uniformes personal</t>
  </si>
  <si>
    <t>SUBTOTAL  SUELDOS PERSONAL ESTABLE</t>
  </si>
  <si>
    <t>B.P.S Aportes patronales y obreros</t>
  </si>
  <si>
    <t>B.S.E. Seguro de accidentes</t>
  </si>
  <si>
    <t>Tickets de Alimentación</t>
  </si>
  <si>
    <t>Uniformes Personal</t>
  </si>
  <si>
    <t>RUBRO 1 PERSONAL.-</t>
  </si>
  <si>
    <t>A) PERSONAL ESTABLE TOTALES ANUALES</t>
  </si>
  <si>
    <t>Canastas Navideñas</t>
  </si>
  <si>
    <t>TOTAL SALIDAS CONCEPTO PERSONAL</t>
  </si>
  <si>
    <t>B) PERSONAL ZAFRAL TOTALES ANUALES</t>
  </si>
  <si>
    <t>C) CARGAS SOCIALES, SEGUROS, ETC</t>
  </si>
  <si>
    <t>SUBTOTAL  SUELDOS PERSONAL ZAFRAL</t>
  </si>
  <si>
    <t>SUBTOTAL CARGAS SOCIALES, SEGUROS, ETC</t>
  </si>
  <si>
    <t>RUBRO 2 ADMINISTRACION.-</t>
  </si>
  <si>
    <t>Honorarios de Administración</t>
  </si>
  <si>
    <t>IVA</t>
  </si>
  <si>
    <t>RUBRO 3 CONSUMOS.-</t>
  </si>
  <si>
    <t>UTE</t>
  </si>
  <si>
    <t>OSE</t>
  </si>
  <si>
    <t>ANTEL</t>
  </si>
  <si>
    <t>TOTAL SALIDAS CONCEPTO CONSUMOS</t>
  </si>
  <si>
    <t>SUBTOTAL SALIDAS CONCEPTO CONSUMOS</t>
  </si>
  <si>
    <t>A) CONSUMOS ORGANISMOS ESTADO.-</t>
  </si>
  <si>
    <t>Artículos de Limpieza</t>
  </si>
  <si>
    <t>RUBRO 4- SERVICE Y SERVICIOS VARIOS</t>
  </si>
  <si>
    <t>Abono Emergencia Movil</t>
  </si>
  <si>
    <t>Papelería, fotocopias, sobres, etc</t>
  </si>
  <si>
    <t>Jardinería, compra plantas,árboles, insumos</t>
  </si>
  <si>
    <t>Service Barométrica y Cañerías</t>
  </si>
  <si>
    <t>Piscina, arreglos, compras, insumos</t>
  </si>
  <si>
    <t>Artículos de escritorio e insumos</t>
  </si>
  <si>
    <t>Sanitaria, materiales y mano de obra</t>
  </si>
  <si>
    <t>Cerrajería, arreglos y compras</t>
  </si>
  <si>
    <t>Aluminio, reparaciones y compras</t>
  </si>
  <si>
    <t>Service Ascensores, insumos, e impuestos</t>
  </si>
  <si>
    <t>Limpieza de Tanques de Agua</t>
  </si>
  <si>
    <t>RUBRO 5- BANCOS.-</t>
  </si>
  <si>
    <t>Gastos Banco</t>
  </si>
  <si>
    <t>TOTAL CONCEPTO BANCOS</t>
  </si>
  <si>
    <t>Honorarios, Montepíos, gastos e IVA Escribanía</t>
  </si>
  <si>
    <t>RUBRO 7- HONORARIOS PROFESIONALES.-</t>
  </si>
  <si>
    <t>RUBRO 6- SALIDAS VARIAS.-</t>
  </si>
  <si>
    <t>TOTAL SALIDAS ADMINISTRACION</t>
  </si>
  <si>
    <t>SUBTOTAL SALIDAS CONSUMOS VARIOS</t>
  </si>
  <si>
    <t>TOTAL CONCEPTO SERVICE Y SERVICIOS</t>
  </si>
  <si>
    <t>TOTAL CONCEPTO SALIDAS VARIAS</t>
  </si>
  <si>
    <t>TOTAL CONCEPTO HONORARIOS</t>
  </si>
  <si>
    <t>TOTAL SALIDAS $</t>
  </si>
  <si>
    <t>TOTAL DE SALIDAS EN PESOS URUGUAYOS</t>
  </si>
  <si>
    <t>TOTAL DE SALIDAS ANUALES DISCRIMINACION POR RUBROS Y PORCENTAJES EN PESOS URUGUAYOS</t>
  </si>
  <si>
    <t>TOTAL DE SALIDAS ANUALES DISCRIMINACION POR RUBROS Y PORCENTAJES EN DOLARES USA</t>
  </si>
  <si>
    <t>TOTAL SUMINISTRO MATERIALES</t>
  </si>
  <si>
    <t>Cambio de Moneda</t>
  </si>
  <si>
    <t>TOTAL CONCEPTO MONEDA</t>
  </si>
  <si>
    <t>TOTAL  CONCEPTO CUESTIONES VARIAS</t>
  </si>
  <si>
    <t>RUBRO 9 - MONEDA.-</t>
  </si>
  <si>
    <t>TOTAL DE SALIDAS EN DOLARES USA</t>
  </si>
  <si>
    <t>TOTAL SALIDAS U$S</t>
  </si>
  <si>
    <t>TOTAL DE ENTRADAS ANUALES DISCRIMINACION POR RUBROS Y PORCENTAJES EN PESOS URUGUAYOS</t>
  </si>
  <si>
    <t>TOTAL ENTRADAS $</t>
  </si>
  <si>
    <t>Ingresos Caja efectivo</t>
  </si>
  <si>
    <t>TOTAL DE ENTRADAS ANUALES DISCRIMINACION POR RUBROS Y PORCENTAJES EN DOLARES USA</t>
  </si>
  <si>
    <t>TOTAL INGRESOS DOLARES USA</t>
  </si>
  <si>
    <t>TOTAL ENTRADAS U$S</t>
  </si>
  <si>
    <t>SALARIOS</t>
  </si>
  <si>
    <t>Caños Termofusión y mano de obra</t>
  </si>
  <si>
    <t xml:space="preserve">RUBRO 8-  MATERIALES E INSUMOS </t>
  </si>
  <si>
    <t>Honorarios Auditor Externo e IVA</t>
  </si>
  <si>
    <t>Auditor Externo e IVA</t>
  </si>
  <si>
    <t>Arreglos de azotea, materiales y mano de obra</t>
  </si>
  <si>
    <t>Computadora, impresora, fax, insumos</t>
  </si>
  <si>
    <t>Devolución de crédito y depositos por error</t>
  </si>
  <si>
    <t>Devolución depósito por error y cheques propietarios</t>
  </si>
  <si>
    <t>B) CONSUMOS O PRODUCTOS VARIOS PARTICULARES</t>
  </si>
  <si>
    <t>Service Pararrayo</t>
  </si>
  <si>
    <t>Service pararrayo</t>
  </si>
  <si>
    <t>Transferencias Cuenta a Cuenta Bancos</t>
  </si>
  <si>
    <t>Transferencias de cuentas Bancos</t>
  </si>
  <si>
    <t>% SALIDAS</t>
  </si>
  <si>
    <t>% GASTOS</t>
  </si>
  <si>
    <t>TOTAL GASTOS U$S</t>
  </si>
  <si>
    <t>TOTAL INGRESOS $</t>
  </si>
  <si>
    <t>% ENTRADAS</t>
  </si>
  <si>
    <t>% INGRESOS</t>
  </si>
  <si>
    <t>TOTAL ENTRADAS PESOS URUGUAYOS</t>
  </si>
  <si>
    <t>TOTAL INGRESOS U$S</t>
  </si>
  <si>
    <t>SALIDAS FUNCIONAMIENTO U$S</t>
  </si>
  <si>
    <t>%</t>
  </si>
  <si>
    <t>Bancos</t>
  </si>
  <si>
    <t>SALIDAS FUNCIONAMIENTO AMBAS MONEDAS</t>
  </si>
  <si>
    <t>PESOS</t>
  </si>
  <si>
    <t>DOLARES</t>
  </si>
  <si>
    <t>SALIDAS EXTRAORDINARIAS AMBAS MONEDAS</t>
  </si>
  <si>
    <t>Ingresos por Alquiler Parrillas</t>
  </si>
  <si>
    <t>Honorarios e IVA Gestor</t>
  </si>
  <si>
    <t>SALIDAS EXTRAORDINARIOS U$S</t>
  </si>
  <si>
    <t>Ingresos por consumos telefónicos</t>
  </si>
  <si>
    <t>Honorarios e IVA Auditora Externa contratada</t>
  </si>
  <si>
    <t>Otros ingresos (transferencias Banco-Caja Efectivo)</t>
  </si>
  <si>
    <t>Trabajos materiales y mano de obra</t>
  </si>
  <si>
    <t>Mármoles Ascensores</t>
  </si>
  <si>
    <t>TOTAL</t>
  </si>
  <si>
    <t>PORCENTAJE</t>
  </si>
  <si>
    <t>DISCRIMINACION DE INGRESOS Y PORCENTAJES TOTALES CAJA EFECTIVO</t>
  </si>
  <si>
    <t>Entrado transferencia Banco a Banco y otros</t>
  </si>
  <si>
    <t xml:space="preserve">Propietarios pagos particulares y otros </t>
  </si>
  <si>
    <t xml:space="preserve"> </t>
  </si>
  <si>
    <t>DÓLAR COTIZACION PROMEDIO</t>
  </si>
  <si>
    <t>% INGRESO</t>
  </si>
  <si>
    <t>Medio Aguinaldo Marcelo Ureta</t>
  </si>
  <si>
    <t>Sueldo Líquido  Recepcinista Marcelo Ureta</t>
  </si>
  <si>
    <t>Recepcionista Sr. Marcelo Ureta</t>
  </si>
  <si>
    <t>Honorarios e IVA Auditoría</t>
  </si>
  <si>
    <t>EQUIVALE</t>
  </si>
  <si>
    <t>Insumos de Computadora, impresora, cámaras Seg.</t>
  </si>
  <si>
    <t>Sueldo Líquido Mucama Daniela Carrasco</t>
  </si>
  <si>
    <t>Medio Aguinaldo Daniela Carrasco</t>
  </si>
  <si>
    <t>Cadete Bruno Lomiento</t>
  </si>
  <si>
    <t>Electricidad, Sanitaria, materiales y mano de obra</t>
  </si>
  <si>
    <t>Mucama Sra. Daniela Carrasco</t>
  </si>
  <si>
    <t>Recarga Extintores</t>
  </si>
  <si>
    <t>Jardinería, Plantas, Insumos y service</t>
  </si>
  <si>
    <t>Sueldo Líquido  Recepcionista Marcelo Ureta</t>
  </si>
  <si>
    <t>Sueldo Líquido Cadete Bruno Lomiento</t>
  </si>
  <si>
    <t>Honorarios Abogado</t>
  </si>
  <si>
    <t>Gastos judiciales</t>
  </si>
  <si>
    <t>Iva</t>
  </si>
  <si>
    <t>Honorarios Abogados contratados</t>
  </si>
  <si>
    <t>Equipos  sala juegos, comunicación e Internet</t>
  </si>
  <si>
    <t>Equipos de comunicación y sala juegos</t>
  </si>
  <si>
    <t>Tasa Anual de Ascensores</t>
  </si>
  <si>
    <t>Gastos judiaciales</t>
  </si>
  <si>
    <t xml:space="preserve">Sueldo Líquido Recepcionista Matías Cabrera </t>
  </si>
  <si>
    <t xml:space="preserve">Medio Aguinaldo Matías Cabrera </t>
  </si>
  <si>
    <t>RSA Seguros del Edificio</t>
  </si>
  <si>
    <t>BSE Seguro Central Telefonica</t>
  </si>
  <si>
    <t>Salario Vacacional y Licencia</t>
  </si>
  <si>
    <t>Recepcionista Sr. Matías Cabrera</t>
  </si>
  <si>
    <t>Vidrieria, Carpintería, arreglos y compras</t>
  </si>
  <si>
    <t>Barreaca y Ferreteria</t>
  </si>
  <si>
    <t>Sueldo Líquido Mantenimiento Jose Luis Teijeiro</t>
  </si>
  <si>
    <t>Medio Aguinaldo Jose Luis Teijeiro</t>
  </si>
  <si>
    <t>Mantenimiento Sr. Jose Luis Teijeiro</t>
  </si>
  <si>
    <t>Sueldo Líquido Mucama María del Carmen Egures</t>
  </si>
  <si>
    <t>Medio Aguinaldo María del Carmen Egures</t>
  </si>
  <si>
    <t>Mucama Sra. María del Carmen Egures</t>
  </si>
  <si>
    <t>Medio Aguinaldo Candelaria Signorino</t>
  </si>
  <si>
    <t>Insumos y compras Computación y Telefonía</t>
  </si>
  <si>
    <t>Ingresos ventas garrafas 13 K</t>
  </si>
  <si>
    <t>Ingresos Alquiler de Garages</t>
  </si>
  <si>
    <t>Gastos Varios y transferencias de cuentas</t>
  </si>
  <si>
    <t>Ingresos Alquiler de garages</t>
  </si>
  <si>
    <t>Ingresos varios (cobro de insumos a Propietarios)</t>
  </si>
  <si>
    <t>Administrativa Sra. Candelaria Signorino</t>
  </si>
  <si>
    <t>Recepcionista Brandon Caporal</t>
  </si>
  <si>
    <t>Sueldo Líquido Administrativa Candelaria Signorino</t>
  </si>
  <si>
    <t>Sueldo Líquido Recepcionista Brandon Caporal</t>
  </si>
  <si>
    <t>Medio Aguinaldo Brandon Caporal</t>
  </si>
  <si>
    <t>GANANCIAS EJERCICIO PESOS</t>
  </si>
  <si>
    <t>Gastos bancarios</t>
  </si>
  <si>
    <t>Retención Judicial Marcelo Ureta</t>
  </si>
  <si>
    <t>Limpieza Semestral de Tanques de Agua</t>
  </si>
  <si>
    <t>Pago Devuelto Propietario</t>
  </si>
  <si>
    <t>Tasa de Ascensores</t>
  </si>
  <si>
    <t>Pago por particulres</t>
  </si>
  <si>
    <t>Liquidación final Bruno Lomiento</t>
  </si>
  <si>
    <t>Medio Aguinaldo Luis Lopez</t>
  </si>
  <si>
    <t>Sueldo Líquido  Recepcionista Luis Lopez</t>
  </si>
  <si>
    <t>Honorarios e IVA gestor</t>
  </si>
  <si>
    <t>Vidriería  y colocación de freno</t>
  </si>
  <si>
    <t>Arreglos y compra de artículos de piscina e iluminación</t>
  </si>
  <si>
    <t>Sueldo Líquido Recepcionista Matías Aispuro</t>
  </si>
  <si>
    <t>Insumos de Gimnasio y Recepcion</t>
  </si>
  <si>
    <t>Barraca y Ferreteria</t>
  </si>
  <si>
    <t xml:space="preserve">Pago y devolución propietarios </t>
  </si>
  <si>
    <t>Artículos de limpieza y bolsas de residuo</t>
  </si>
  <si>
    <t>Medio Aguinaldo</t>
  </si>
  <si>
    <t>Carpintería.</t>
  </si>
  <si>
    <t>Pagos cuentas particulares propietarios</t>
  </si>
  <si>
    <t>Caños Termofusión y arreglos de iluminación</t>
  </si>
  <si>
    <t>Acrílicos y vidriería</t>
  </si>
  <si>
    <t>Sueldo Líquido Recepcionista Joaquín Ferreri</t>
  </si>
  <si>
    <t>Medio Aguinaldo Joaquín Ferreri</t>
  </si>
  <si>
    <t>Liquidación final</t>
  </si>
  <si>
    <t>Liquidación por egreso</t>
  </si>
  <si>
    <t xml:space="preserve">Riego e insumos </t>
  </si>
  <si>
    <t>Banco y Redes de Pago</t>
  </si>
  <si>
    <t>Devolución de crédito y pagos por error</t>
  </si>
  <si>
    <t>Service Ascensores y arreglos</t>
  </si>
  <si>
    <t>IVA sobre honorarios Administración</t>
  </si>
  <si>
    <t>Recepcionista Joaquin Ferrari</t>
  </si>
  <si>
    <t>Rubro 1 FONDO</t>
  </si>
  <si>
    <t>Rubro 1 Arriba</t>
  </si>
  <si>
    <t>Uniformes y ticket</t>
  </si>
  <si>
    <t>bpse,bpse,canastas</t>
  </si>
  <si>
    <t>Hon e iva</t>
  </si>
  <si>
    <t>Ute ose antel</t>
  </si>
  <si>
    <t>Recargas y compras de extintores</t>
  </si>
  <si>
    <t>RUBRO 10- CUESTIONES VARIAS</t>
  </si>
  <si>
    <t>Insumos de Administracion, Recepcion y Piscina</t>
  </si>
  <si>
    <t>Art. Escritorio recepcion, gimnasio y otros</t>
  </si>
  <si>
    <t>Piscina, bomba, arreglos e insumos</t>
  </si>
  <si>
    <t>Cerámicas</t>
  </si>
  <si>
    <t>Administrativa Camila Lomiento</t>
  </si>
  <si>
    <t>Mucama Yamila Valiero</t>
  </si>
  <si>
    <t>Mucama Sra. Karen González</t>
  </si>
  <si>
    <t>Pago por particulares</t>
  </si>
  <si>
    <t>Pago Hosting Torre Antares</t>
  </si>
  <si>
    <t>Insumos de Gimnasio, Recepcion y Garaje</t>
  </si>
  <si>
    <t>Arreglos de electricidad</t>
  </si>
  <si>
    <t>Honorarios profesionales gestor</t>
  </si>
  <si>
    <t>Jardinería y compra de insumos</t>
  </si>
  <si>
    <t>Sueldo Líquido Mucama Paola Rodríguez</t>
  </si>
  <si>
    <t>Medio Aguinaldo Paola Rodríguez</t>
  </si>
  <si>
    <t>Otros Ingresos</t>
  </si>
  <si>
    <t>Telefonía, internet e insumnos</t>
  </si>
  <si>
    <t xml:space="preserve">Pago por trabajos contratados </t>
  </si>
  <si>
    <t>Sueldo Líquido Ana Paola Rodríguez</t>
  </si>
  <si>
    <t>Artículos de Piscina y piscinero</t>
  </si>
  <si>
    <t>Servicio de Lavadero</t>
  </si>
  <si>
    <t>Cloro, artículos de piscina y piscinero</t>
  </si>
  <si>
    <t>Medio Aguinaldo Ana Paola Rodríguez</t>
  </si>
  <si>
    <t>Insumos recepción y parrilleros y gastos lavadero</t>
  </si>
  <si>
    <t>Arreglos ascensores</t>
  </si>
  <si>
    <t>Honorarios supervisión</t>
  </si>
  <si>
    <t>Honorarios Abogados y Escribano</t>
  </si>
  <si>
    <t>RENDICION DE CUENTAS DICIEMBRE 2024 a NOVIEMBRE 2025</t>
  </si>
  <si>
    <t>Sueldo Líquido Mantenimiento Kavin Magallanes</t>
  </si>
  <si>
    <t>Sueldo Líquido Juan Manuel dos Santos</t>
  </si>
  <si>
    <t>Cambio de Bomba, caños y llaves</t>
  </si>
  <si>
    <t>Modernización ascensores</t>
  </si>
  <si>
    <t>Medio Aguinaldo Kavin Magallanes</t>
  </si>
  <si>
    <t>Sueldo Mantenimiento Angel Silva</t>
  </si>
  <si>
    <t>Licencia y Salario Vacacional Angel Silva</t>
  </si>
  <si>
    <t>Sueldo Mantenimiento Matías Abreu</t>
  </si>
  <si>
    <t>Medio Aguinaldo Matías Abreu</t>
  </si>
  <si>
    <t>Medio Aguinaldo  Angel Silva</t>
  </si>
  <si>
    <t>Mantenimiento Sr. Angel Silva</t>
  </si>
  <si>
    <t>Mantenimiento Kavin Magallanes</t>
  </si>
  <si>
    <t>Mantenimiento Matías Abreu</t>
  </si>
  <si>
    <t xml:space="preserve">Salario Vacacional, indemnización por despido y liquidación </t>
  </si>
  <si>
    <t>Salario Facundo González</t>
  </si>
  <si>
    <t>Recepcionista Facundo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</si>
</sst>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_ * #,##0_ ;_ * \-#,##0_ ;_ * &quot;-&quot;_ ;_ @_ "/>
    <numFmt numFmtId="166" formatCode="_ * #,##0.00_ ;_ * \-#,##0.00_ ;_ * &quot;-&quot;??_ ;_ @_ "/>
    <numFmt numFmtId="167" formatCode="_ [$€-2]\ * #,##0.00_ ;_ [$€-2]\ * \-#,##0.00_ ;_ [$€-2]\ * &quot;-&quot;??_ "/>
    <numFmt numFmtId="168" formatCode="_ * #,##0.00_ ;_ * \-#,##0.00_ ;_ * &quot;-&quot;_ ;_ @_ "/>
  </numFmts>
  <fonts count="4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i/>
      <u/>
      <sz val="16"/>
      <name val="Times New Roman"/>
      <family val="1"/>
    </font>
    <font>
      <b/>
      <u/>
      <sz val="16"/>
      <name val="Times New Roman"/>
      <family val="1"/>
    </font>
    <font>
      <sz val="9"/>
      <name val="Arial"/>
      <family val="2"/>
    </font>
    <font>
      <b/>
      <i/>
      <u/>
      <sz val="14"/>
      <name val="Times New Roman"/>
      <family val="1"/>
    </font>
    <font>
      <b/>
      <i/>
      <u/>
      <sz val="12"/>
      <name val="Times New Roman"/>
      <family val="1"/>
    </font>
    <font>
      <sz val="16"/>
      <name val="Arial"/>
      <family val="2"/>
    </font>
    <font>
      <b/>
      <i/>
      <u/>
      <sz val="22"/>
      <name val="Times New Roman"/>
      <family val="1"/>
    </font>
    <font>
      <b/>
      <u/>
      <sz val="22"/>
      <name val="Arial"/>
      <family val="2"/>
    </font>
    <font>
      <i/>
      <sz val="16"/>
      <name val="Times New Roman"/>
      <family val="1"/>
    </font>
    <font>
      <i/>
      <sz val="14"/>
      <name val="Times New Roman"/>
      <family val="1"/>
    </font>
    <font>
      <b/>
      <sz val="10"/>
      <name val="Arial"/>
      <family val="2"/>
    </font>
    <font>
      <i/>
      <u/>
      <sz val="14"/>
      <name val="Times New Roman"/>
      <family val="1"/>
    </font>
    <font>
      <b/>
      <sz val="9"/>
      <name val="Arial"/>
      <family val="2"/>
    </font>
    <font>
      <i/>
      <sz val="14"/>
      <name val="Arial"/>
      <family val="2"/>
    </font>
    <font>
      <b/>
      <u/>
      <sz val="12"/>
      <name val="Times New Roman"/>
      <family val="1"/>
    </font>
    <font>
      <sz val="16"/>
      <name val="Arial"/>
      <family val="2"/>
    </font>
    <font>
      <b/>
      <i/>
      <u/>
      <sz val="16"/>
      <name val="Arial Black"/>
      <family val="2"/>
    </font>
    <font>
      <sz val="10"/>
      <name val="Arial Black"/>
      <family val="2"/>
    </font>
    <font>
      <sz val="14"/>
      <name val="Arial"/>
      <family val="2"/>
    </font>
    <font>
      <b/>
      <u/>
      <sz val="10"/>
      <name val="Arial"/>
      <family val="2"/>
    </font>
    <font>
      <b/>
      <i/>
      <sz val="14"/>
      <name val="Times New Roman"/>
      <family val="1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3"/>
      <name val="Times New Roman"/>
      <family val="1"/>
    </font>
    <font>
      <b/>
      <i/>
      <u/>
      <sz val="10"/>
      <name val="Arial"/>
      <family val="2"/>
    </font>
    <font>
      <i/>
      <sz val="10"/>
      <name val="Arial"/>
      <family val="2"/>
    </font>
    <font>
      <b/>
      <i/>
      <u/>
      <sz val="11"/>
      <name val="Times New Roman"/>
      <family val="1"/>
    </font>
    <font>
      <b/>
      <i/>
      <u/>
      <sz val="15"/>
      <name val="Times New Roman"/>
      <family val="1"/>
    </font>
    <font>
      <b/>
      <sz val="12"/>
      <name val="Arial"/>
      <family val="2"/>
    </font>
    <font>
      <b/>
      <i/>
      <u/>
      <sz val="10"/>
      <name val="Times New Roman"/>
      <family val="1"/>
    </font>
    <font>
      <b/>
      <sz val="10"/>
      <name val="Arial Black"/>
      <family val="2"/>
    </font>
    <font>
      <b/>
      <sz val="11"/>
      <name val="Arial"/>
      <family val="2"/>
    </font>
    <font>
      <b/>
      <u/>
      <sz val="12"/>
      <name val="Arial Black"/>
      <family val="2"/>
    </font>
    <font>
      <i/>
      <sz val="12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166" fontId="0" fillId="0" borderId="0" xfId="2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14" fillId="0" borderId="1" xfId="0" applyFont="1" applyFill="1" applyBorder="1"/>
    <xf numFmtId="0" fontId="1" fillId="0" borderId="0" xfId="0" applyFont="1" applyBorder="1"/>
    <xf numFmtId="0" fontId="14" fillId="0" borderId="0" xfId="0" applyFont="1"/>
    <xf numFmtId="0" fontId="18" fillId="0" borderId="0" xfId="0" applyFont="1"/>
    <xf numFmtId="0" fontId="19" fillId="0" borderId="1" xfId="0" applyFont="1" applyFill="1" applyBorder="1"/>
    <xf numFmtId="0" fontId="23" fillId="0" borderId="0" xfId="0" applyFont="1" applyBorder="1"/>
    <xf numFmtId="0" fontId="14" fillId="0" borderId="0" xfId="0" applyFont="1" applyBorder="1"/>
    <xf numFmtId="168" fontId="3" fillId="0" borderId="0" xfId="3" applyNumberFormat="1" applyFont="1" applyFill="1" applyBorder="1"/>
    <xf numFmtId="0" fontId="8" fillId="0" borderId="0" xfId="0" applyFont="1"/>
    <xf numFmtId="164" fontId="0" fillId="0" borderId="0" xfId="0" applyNumberFormat="1"/>
    <xf numFmtId="164" fontId="15" fillId="0" borderId="6" xfId="0" applyNumberFormat="1" applyFont="1" applyBorder="1"/>
    <xf numFmtId="164" fontId="3" fillId="0" borderId="0" xfId="0" applyNumberFormat="1" applyFont="1" applyBorder="1"/>
    <xf numFmtId="164" fontId="15" fillId="0" borderId="0" xfId="0" applyNumberFormat="1" applyFont="1" applyBorder="1"/>
    <xf numFmtId="166" fontId="15" fillId="0" borderId="6" xfId="2" applyFont="1" applyBorder="1"/>
    <xf numFmtId="0" fontId="23" fillId="0" borderId="0" xfId="0" applyFont="1"/>
    <xf numFmtId="0" fontId="19" fillId="0" borderId="2" xfId="0" applyFont="1" applyFill="1" applyBorder="1"/>
    <xf numFmtId="0" fontId="25" fillId="0" borderId="0" xfId="0" applyFont="1" applyBorder="1"/>
    <xf numFmtId="0" fontId="5" fillId="0" borderId="0" xfId="0" applyFont="1" applyBorder="1"/>
    <xf numFmtId="166" fontId="3" fillId="0" borderId="0" xfId="2" applyFont="1" applyBorder="1"/>
    <xf numFmtId="166" fontId="15" fillId="0" borderId="0" xfId="2" applyFont="1" applyBorder="1"/>
    <xf numFmtId="0" fontId="16" fillId="0" borderId="0" xfId="0" applyFont="1" applyBorder="1"/>
    <xf numFmtId="168" fontId="3" fillId="0" borderId="1" xfId="3" applyNumberFormat="1" applyFont="1" applyFill="1" applyBorder="1"/>
    <xf numFmtId="168" fontId="3" fillId="0" borderId="2" xfId="3" applyNumberFormat="1" applyFont="1" applyFill="1" applyBorder="1"/>
    <xf numFmtId="0" fontId="32" fillId="0" borderId="0" xfId="0" applyFont="1"/>
    <xf numFmtId="0" fontId="9" fillId="0" borderId="0" xfId="0" applyFont="1"/>
    <xf numFmtId="0" fontId="33" fillId="0" borderId="0" xfId="0" applyFont="1"/>
    <xf numFmtId="0" fontId="8" fillId="0" borderId="0" xfId="0" applyFont="1" applyBorder="1"/>
    <xf numFmtId="0" fontId="3" fillId="0" borderId="0" xfId="0" applyFont="1" applyFill="1" applyBorder="1"/>
    <xf numFmtId="166" fontId="0" fillId="0" borderId="11" xfId="2" applyFont="1" applyFill="1" applyBorder="1"/>
    <xf numFmtId="0" fontId="8" fillId="0" borderId="0" xfId="0" applyFont="1" applyFill="1" applyBorder="1"/>
    <xf numFmtId="0" fontId="14" fillId="0" borderId="13" xfId="0" applyFont="1" applyBorder="1"/>
    <xf numFmtId="164" fontId="40" fillId="0" borderId="6" xfId="0" applyNumberFormat="1" applyFont="1" applyBorder="1"/>
    <xf numFmtId="164" fontId="41" fillId="0" borderId="0" xfId="0" applyNumberFormat="1" applyFont="1" applyBorder="1"/>
    <xf numFmtId="164" fontId="15" fillId="0" borderId="6" xfId="0" applyNumberFormat="1" applyFont="1" applyFill="1" applyBorder="1"/>
    <xf numFmtId="164" fontId="0" fillId="0" borderId="0" xfId="0" applyNumberFormat="1" applyFill="1"/>
    <xf numFmtId="0" fontId="0" fillId="2" borderId="0" xfId="0" applyFill="1"/>
    <xf numFmtId="0" fontId="0" fillId="3" borderId="0" xfId="0" applyFill="1"/>
    <xf numFmtId="0" fontId="0" fillId="0" borderId="0" xfId="0" applyFill="1"/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1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8" fillId="0" borderId="1" xfId="0" applyFont="1" applyFill="1" applyBorder="1"/>
    <xf numFmtId="0" fontId="23" fillId="0" borderId="1" xfId="0" applyFont="1" applyFill="1" applyBorder="1"/>
    <xf numFmtId="0" fontId="9" fillId="0" borderId="1" xfId="0" applyFont="1" applyFill="1" applyBorder="1"/>
    <xf numFmtId="166" fontId="0" fillId="0" borderId="1" xfId="2" applyFont="1" applyFill="1" applyBorder="1"/>
    <xf numFmtId="166" fontId="3" fillId="0" borderId="1" xfId="2" applyFont="1" applyFill="1" applyBorder="1"/>
    <xf numFmtId="166" fontId="3" fillId="0" borderId="0" xfId="2" applyFont="1" applyFill="1"/>
    <xf numFmtId="0" fontId="14" fillId="0" borderId="7" xfId="0" applyFont="1" applyFill="1" applyBorder="1"/>
    <xf numFmtId="166" fontId="0" fillId="0" borderId="7" xfId="2" applyFont="1" applyFill="1" applyBorder="1"/>
    <xf numFmtId="0" fontId="39" fillId="0" borderId="0" xfId="0" applyFont="1" applyFill="1"/>
    <xf numFmtId="168" fontId="0" fillId="0" borderId="1" xfId="3" applyNumberFormat="1" applyFont="1" applyFill="1" applyBorder="1"/>
    <xf numFmtId="168" fontId="3" fillId="0" borderId="0" xfId="3" applyNumberFormat="1" applyFont="1" applyFill="1"/>
    <xf numFmtId="0" fontId="14" fillId="0" borderId="11" xfId="0" applyFont="1" applyFill="1" applyBorder="1"/>
    <xf numFmtId="0" fontId="14" fillId="0" borderId="0" xfId="0" applyFont="1" applyFill="1" applyBorder="1"/>
    <xf numFmtId="0" fontId="3" fillId="0" borderId="1" xfId="0" applyFont="1" applyFill="1" applyBorder="1"/>
    <xf numFmtId="0" fontId="0" fillId="0" borderId="1" xfId="0" applyFill="1" applyBorder="1"/>
    <xf numFmtId="0" fontId="0" fillId="0" borderId="3" xfId="0" applyFill="1" applyBorder="1"/>
    <xf numFmtId="166" fontId="15" fillId="0" borderId="5" xfId="2" applyFont="1" applyFill="1" applyBorder="1"/>
    <xf numFmtId="0" fontId="0" fillId="0" borderId="0" xfId="0" applyFill="1" applyBorder="1"/>
    <xf numFmtId="166" fontId="1" fillId="0" borderId="1" xfId="2" applyFont="1" applyFill="1" applyBorder="1"/>
    <xf numFmtId="0" fontId="14" fillId="0" borderId="0" xfId="0" applyFont="1" applyFill="1"/>
    <xf numFmtId="166" fontId="15" fillId="0" borderId="1" xfId="2" applyFont="1" applyFill="1" applyBorder="1"/>
    <xf numFmtId="0" fontId="5" fillId="0" borderId="2" xfId="0" applyFont="1" applyFill="1" applyBorder="1"/>
    <xf numFmtId="0" fontId="20" fillId="0" borderId="2" xfId="0" applyFont="1" applyFill="1" applyBorder="1"/>
    <xf numFmtId="0" fontId="0" fillId="0" borderId="2" xfId="0" applyFill="1" applyBorder="1"/>
    <xf numFmtId="166" fontId="3" fillId="0" borderId="1" xfId="2" quotePrefix="1" applyFont="1" applyFill="1" applyBorder="1"/>
    <xf numFmtId="166" fontId="0" fillId="0" borderId="0" xfId="2" applyFont="1" applyFill="1"/>
    <xf numFmtId="0" fontId="9" fillId="0" borderId="2" xfId="0" applyFont="1" applyFill="1" applyBorder="1"/>
    <xf numFmtId="0" fontId="14" fillId="0" borderId="3" xfId="0" applyFont="1" applyFill="1" applyBorder="1"/>
    <xf numFmtId="0" fontId="3" fillId="0" borderId="3" xfId="0" applyFont="1" applyFill="1" applyBorder="1"/>
    <xf numFmtId="166" fontId="15" fillId="0" borderId="9" xfId="2" applyFont="1" applyFill="1" applyBorder="1"/>
    <xf numFmtId="0" fontId="16" fillId="0" borderId="1" xfId="0" applyFont="1" applyFill="1" applyBorder="1"/>
    <xf numFmtId="166" fontId="7" fillId="0" borderId="1" xfId="2" applyFont="1" applyFill="1" applyBorder="1"/>
    <xf numFmtId="166" fontId="17" fillId="0" borderId="1" xfId="2" applyFont="1" applyFill="1" applyBorder="1"/>
    <xf numFmtId="0" fontId="23" fillId="0" borderId="3" xfId="0" applyFont="1" applyFill="1" applyBorder="1"/>
    <xf numFmtId="168" fontId="15" fillId="0" borderId="4" xfId="3" applyNumberFormat="1" applyFont="1" applyFill="1" applyBorder="1"/>
    <xf numFmtId="168" fontId="15" fillId="0" borderId="5" xfId="3" applyNumberFormat="1" applyFont="1" applyFill="1" applyBorder="1"/>
    <xf numFmtId="168" fontId="15" fillId="0" borderId="8" xfId="3" applyNumberFormat="1" applyFont="1" applyFill="1" applyBorder="1"/>
    <xf numFmtId="0" fontId="23" fillId="0" borderId="0" xfId="0" applyFont="1" applyFill="1" applyBorder="1"/>
    <xf numFmtId="166" fontId="7" fillId="0" borderId="0" xfId="2" applyFont="1" applyFill="1"/>
    <xf numFmtId="0" fontId="9" fillId="0" borderId="7" xfId="0" applyFont="1" applyFill="1" applyBorder="1"/>
    <xf numFmtId="0" fontId="0" fillId="0" borderId="7" xfId="0" applyFill="1" applyBorder="1"/>
    <xf numFmtId="166" fontId="0" fillId="0" borderId="2" xfId="2" applyFont="1" applyFill="1" applyBorder="1"/>
    <xf numFmtId="166" fontId="15" fillId="0" borderId="4" xfId="2" applyFont="1" applyFill="1" applyBorder="1"/>
    <xf numFmtId="0" fontId="1" fillId="0" borderId="0" xfId="0" applyFont="1" applyFill="1" applyBorder="1"/>
    <xf numFmtId="0" fontId="9" fillId="0" borderId="0" xfId="0" applyFont="1" applyFill="1"/>
    <xf numFmtId="0" fontId="8" fillId="0" borderId="0" xfId="0" applyFont="1" applyFill="1"/>
    <xf numFmtId="0" fontId="35" fillId="0" borderId="0" xfId="0" applyFont="1" applyFill="1" applyBorder="1"/>
    <xf numFmtId="166" fontId="34" fillId="0" borderId="1" xfId="0" applyNumberFormat="1" applyFont="1" applyFill="1" applyBorder="1"/>
    <xf numFmtId="166" fontId="34" fillId="0" borderId="1" xfId="2" applyFont="1" applyFill="1" applyBorder="1"/>
    <xf numFmtId="0" fontId="38" fillId="0" borderId="1" xfId="0" applyFont="1" applyFill="1" applyBorder="1"/>
    <xf numFmtId="0" fontId="38" fillId="0" borderId="0" xfId="0" applyFont="1" applyFill="1"/>
    <xf numFmtId="164" fontId="37" fillId="0" borderId="12" xfId="0" applyNumberFormat="1" applyFont="1" applyFill="1" applyBorder="1"/>
    <xf numFmtId="166" fontId="34" fillId="0" borderId="6" xfId="2" applyFont="1" applyFill="1" applyBorder="1"/>
    <xf numFmtId="166" fontId="22" fillId="0" borderId="1" xfId="2" applyFont="1" applyFill="1" applyBorder="1"/>
    <xf numFmtId="0" fontId="36" fillId="0" borderId="1" xfId="0" applyFont="1" applyFill="1" applyBorder="1"/>
    <xf numFmtId="0" fontId="30" fillId="0" borderId="0" xfId="0" applyFont="1" applyFill="1"/>
    <xf numFmtId="164" fontId="40" fillId="0" borderId="6" xfId="0" applyNumberFormat="1" applyFont="1" applyFill="1" applyBorder="1"/>
    <xf numFmtId="0" fontId="9" fillId="0" borderId="0" xfId="0" applyFont="1" applyFill="1" applyBorder="1"/>
    <xf numFmtId="0" fontId="4" fillId="0" borderId="0" xfId="0" applyFont="1" applyFill="1" applyBorder="1"/>
    <xf numFmtId="166" fontId="34" fillId="0" borderId="0" xfId="2" applyFont="1" applyFill="1" applyBorder="1"/>
    <xf numFmtId="0" fontId="27" fillId="0" borderId="0" xfId="0" applyFont="1" applyFill="1"/>
    <xf numFmtId="164" fontId="15" fillId="0" borderId="0" xfId="0" applyNumberFormat="1" applyFont="1" applyFill="1" applyBorder="1"/>
    <xf numFmtId="0" fontId="25" fillId="0" borderId="0" xfId="0" applyFont="1" applyFill="1"/>
    <xf numFmtId="166" fontId="15" fillId="0" borderId="6" xfId="2" applyFont="1" applyFill="1" applyBorder="1"/>
    <xf numFmtId="0" fontId="16" fillId="0" borderId="0" xfId="0" applyFont="1" applyFill="1"/>
    <xf numFmtId="0" fontId="26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31" fillId="0" borderId="0" xfId="0" applyFont="1" applyFill="1"/>
    <xf numFmtId="0" fontId="18" fillId="0" borderId="0" xfId="0" applyFont="1" applyFill="1"/>
    <xf numFmtId="0" fontId="23" fillId="0" borderId="0" xfId="0" applyFont="1" applyFill="1"/>
    <xf numFmtId="164" fontId="3" fillId="0" borderId="0" xfId="0" applyNumberFormat="1" applyFont="1" applyFill="1" applyBorder="1"/>
    <xf numFmtId="164" fontId="15" fillId="0" borderId="10" xfId="0" applyNumberFormat="1" applyFont="1" applyFill="1" applyBorder="1"/>
    <xf numFmtId="0" fontId="25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/>
    <xf numFmtId="0" fontId="13" fillId="0" borderId="0" xfId="0" applyFont="1" applyFill="1" applyBorder="1"/>
    <xf numFmtId="164" fontId="17" fillId="0" borderId="6" xfId="0" applyNumberFormat="1" applyFont="1" applyFill="1" applyBorder="1"/>
    <xf numFmtId="0" fontId="24" fillId="0" borderId="0" xfId="0" applyFont="1" applyFill="1" applyBorder="1"/>
    <xf numFmtId="0" fontId="42" fillId="0" borderId="0" xfId="0" applyFont="1"/>
    <xf numFmtId="166" fontId="17" fillId="0" borderId="0" xfId="0" applyNumberFormat="1" applyFont="1" applyBorder="1"/>
    <xf numFmtId="166" fontId="40" fillId="0" borderId="0" xfId="0" applyNumberFormat="1" applyFont="1" applyBorder="1"/>
    <xf numFmtId="166" fontId="34" fillId="0" borderId="0" xfId="0" applyNumberFormat="1" applyFont="1" applyBorder="1"/>
    <xf numFmtId="0" fontId="16" fillId="0" borderId="0" xfId="0" applyFont="1" applyFill="1" applyBorder="1"/>
    <xf numFmtId="164" fontId="1" fillId="0" borderId="0" xfId="0" applyNumberFormat="1" applyFont="1" applyFill="1" applyBorder="1"/>
    <xf numFmtId="164" fontId="7" fillId="0" borderId="0" xfId="0" applyNumberFormat="1" applyFont="1" applyFill="1" applyBorder="1"/>
    <xf numFmtId="166" fontId="1" fillId="0" borderId="11" xfId="2" applyFont="1" applyFill="1" applyBorder="1"/>
    <xf numFmtId="168" fontId="0" fillId="0" borderId="0" xfId="3" applyNumberFormat="1" applyFont="1"/>
  </cellXfs>
  <cellStyles count="4">
    <cellStyle name="Euro" xfId="1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0</xdr:rowOff>
    </xdr:from>
    <xdr:to>
      <xdr:col>13</xdr:col>
      <xdr:colOff>85725</xdr:colOff>
      <xdr:row>0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0353675" cy="0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1" u="sng" strike="noStrike">
              <a:solidFill>
                <a:srgbClr val="000000"/>
              </a:solidFill>
              <a:latin typeface="Times New Roman"/>
              <a:cs typeface="Times New Roman"/>
            </a:rPr>
            <a:t>ESTADO DE SITUACION DEL EDIFICIO AL CIERRE DEL EJERCICIO</a:t>
          </a: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CUENTA CORRIENTE BANCO COMERCIAL................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CUENTA CORRIENTE BANCO COMERCIAL....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CHICA...............................................................  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EFECTIVO........................................................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CAJA EFECTIVO.................................................................... 100,00</a:t>
          </a:r>
        </a:p>
      </xdr:txBody>
    </xdr:sp>
    <xdr:clientData/>
  </xdr:twoCellAnchor>
  <xdr:twoCellAnchor>
    <xdr:from>
      <xdr:col>2</xdr:col>
      <xdr:colOff>57150</xdr:colOff>
      <xdr:row>0</xdr:row>
      <xdr:rowOff>0</xdr:rowOff>
    </xdr:from>
    <xdr:to>
      <xdr:col>13</xdr:col>
      <xdr:colOff>85725</xdr:colOff>
      <xdr:row>0</xdr:row>
      <xdr:rowOff>0</xdr:rowOff>
    </xdr:to>
    <xdr:sp macro="" textlink="">
      <xdr:nvSpPr>
        <xdr:cNvPr id="1208" name="AutoShape 184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0353675" cy="0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1" u="sng" strike="noStrike">
              <a:solidFill>
                <a:srgbClr val="000000"/>
              </a:solidFill>
              <a:latin typeface="Times New Roman"/>
              <a:cs typeface="Times New Roman"/>
            </a:rPr>
            <a:t>ESTADO DE SITUACION DEL EDIFICIO AL CIERRE DEL EJERCICIO</a:t>
          </a: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CUENTA CORRIENTE BANCO COMERCIAL................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CUENTA CORRIENTE BANCO COMERCIAL....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CHICA...............................................................    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EFECTIVO........................................................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CAJA EFECTIVO.................................................................... 100,00</a:t>
          </a:r>
        </a:p>
      </xdr:txBody>
    </xdr:sp>
    <xdr:clientData/>
  </xdr:twoCellAnchor>
  <xdr:twoCellAnchor>
    <xdr:from>
      <xdr:col>2</xdr:col>
      <xdr:colOff>57150</xdr:colOff>
      <xdr:row>0</xdr:row>
      <xdr:rowOff>0</xdr:rowOff>
    </xdr:from>
    <xdr:to>
      <xdr:col>13</xdr:col>
      <xdr:colOff>85725</xdr:colOff>
      <xdr:row>0</xdr:row>
      <xdr:rowOff>0</xdr:rowOff>
    </xdr:to>
    <xdr:sp macro="" textlink="">
      <xdr:nvSpPr>
        <xdr:cNvPr id="1212" name="AutoShape 188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0353675" cy="0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1" u="sng" strike="noStrike">
              <a:solidFill>
                <a:srgbClr val="000000"/>
              </a:solidFill>
              <a:latin typeface="Times New Roman"/>
              <a:cs typeface="Times New Roman"/>
            </a:rPr>
            <a:t>ESTADO DE SITUACION DEL EDIFICIO AL CIERRE DEL EJERCICIO</a:t>
          </a: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CUENTA CORRIENTE BANCO COMERCIAL................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CUENTA CORRIENTE BANCO COMERCIAL....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CHICA...............................................................    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EFECTIVO........................................................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CAJA EFECTIVO.................................................................... 100,00</a:t>
          </a:r>
        </a:p>
      </xdr:txBody>
    </xdr:sp>
    <xdr:clientData/>
  </xdr:twoCellAnchor>
  <xdr:twoCellAnchor>
    <xdr:from>
      <xdr:col>2</xdr:col>
      <xdr:colOff>57150</xdr:colOff>
      <xdr:row>0</xdr:row>
      <xdr:rowOff>0</xdr:rowOff>
    </xdr:from>
    <xdr:to>
      <xdr:col>13</xdr:col>
      <xdr:colOff>85725</xdr:colOff>
      <xdr:row>0</xdr:row>
      <xdr:rowOff>0</xdr:rowOff>
    </xdr:to>
    <xdr:sp macro="" textlink="">
      <xdr:nvSpPr>
        <xdr:cNvPr id="1216" name="AutoShape 192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0353675" cy="0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1" u="sng" strike="noStrike">
              <a:solidFill>
                <a:srgbClr val="000000"/>
              </a:solidFill>
              <a:latin typeface="Times New Roman"/>
              <a:cs typeface="Times New Roman"/>
            </a:rPr>
            <a:t>ESTADO DE SITUACION DEL EDIFICIO AL CIERRE DEL EJERCICIO</a:t>
          </a: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CUENTA CORRIENTE BANCO COMERCIAL................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CUENTA CORRIENTE BANCO COMERCIAL....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CHICA...............................................................    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EFECTIVO........................................................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CAJA EFECTIVO.................................................................... 100,00</a:t>
          </a:r>
        </a:p>
      </xdr:txBody>
    </xdr:sp>
    <xdr:clientData/>
  </xdr:twoCellAnchor>
  <xdr:twoCellAnchor>
    <xdr:from>
      <xdr:col>2</xdr:col>
      <xdr:colOff>57150</xdr:colOff>
      <xdr:row>0</xdr:row>
      <xdr:rowOff>0</xdr:rowOff>
    </xdr:from>
    <xdr:to>
      <xdr:col>13</xdr:col>
      <xdr:colOff>85725</xdr:colOff>
      <xdr:row>0</xdr:row>
      <xdr:rowOff>0</xdr:rowOff>
    </xdr:to>
    <xdr:sp macro="" textlink="">
      <xdr:nvSpPr>
        <xdr:cNvPr id="1220" name="AutoShape 196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0353675" cy="0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1" u="sng" strike="noStrike">
              <a:solidFill>
                <a:srgbClr val="000000"/>
              </a:solidFill>
              <a:latin typeface="Times New Roman"/>
              <a:cs typeface="Times New Roman"/>
            </a:rPr>
            <a:t>ESTADO DE SITUACION DEL EDIFICIO AL CIERRE DEL EJERCICIO</a:t>
          </a: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CUENTA CORRIENTE BANCO COMERCIAL................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CUENTA CORRIENTE BANCO COMERCIAL....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CHICA...............................................................    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EFECTIVO........................................................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CAJA EFECTIVO.................................................................... 100,00</a:t>
          </a:r>
        </a:p>
      </xdr:txBody>
    </xdr:sp>
    <xdr:clientData/>
  </xdr:twoCellAnchor>
  <xdr:twoCellAnchor>
    <xdr:from>
      <xdr:col>2</xdr:col>
      <xdr:colOff>57150</xdr:colOff>
      <xdr:row>0</xdr:row>
      <xdr:rowOff>0</xdr:rowOff>
    </xdr:from>
    <xdr:to>
      <xdr:col>13</xdr:col>
      <xdr:colOff>85725</xdr:colOff>
      <xdr:row>0</xdr:row>
      <xdr:rowOff>0</xdr:rowOff>
    </xdr:to>
    <xdr:sp macro="" textlink="">
      <xdr:nvSpPr>
        <xdr:cNvPr id="1224" name="AutoShape 200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0353675" cy="0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1" u="sng" strike="noStrike">
              <a:solidFill>
                <a:srgbClr val="000000"/>
              </a:solidFill>
              <a:latin typeface="Times New Roman"/>
              <a:cs typeface="Times New Roman"/>
            </a:rPr>
            <a:t>ESTADO DE SITUACION DEL EDIFICIO AL CIERRE DEL EJERCICIO</a:t>
          </a: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CUENTA CORRIENTE BANCO COMERCIAL................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CUENTA CORRIENTE BANCO COMERCIAL....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CHICA...............................................................    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EFECTIVO........................................................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CAJA EFECTIVO.................................................................... 100,00</a:t>
          </a:r>
        </a:p>
      </xdr:txBody>
    </xdr:sp>
    <xdr:clientData/>
  </xdr:twoCellAnchor>
  <xdr:twoCellAnchor>
    <xdr:from>
      <xdr:col>2</xdr:col>
      <xdr:colOff>57150</xdr:colOff>
      <xdr:row>0</xdr:row>
      <xdr:rowOff>0</xdr:rowOff>
    </xdr:from>
    <xdr:to>
      <xdr:col>13</xdr:col>
      <xdr:colOff>85725</xdr:colOff>
      <xdr:row>0</xdr:row>
      <xdr:rowOff>0</xdr:rowOff>
    </xdr:to>
    <xdr:sp macro="" textlink="">
      <xdr:nvSpPr>
        <xdr:cNvPr id="1235" name="AutoShape 211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0353675" cy="0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1" u="sng" strike="noStrike">
              <a:solidFill>
                <a:srgbClr val="000000"/>
              </a:solidFill>
              <a:latin typeface="Times New Roman"/>
              <a:cs typeface="Times New Roman"/>
            </a:rPr>
            <a:t>ESTADO DE SITUACION DEL EDIFICIO AL CIERRE DEL EJERCICIO</a:t>
          </a: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CUENTA CORRIENTE BANCO COMERCIAL................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CUENTA CORRIENTE BANCO COMERCIAL....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CHICA...............................................................             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EFECTIVO........................................................      </a:t>
          </a:r>
        </a:p>
        <a:p>
          <a:pPr algn="l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CAJA EFECTIVO.................................................................... 100,00</a:t>
          </a:r>
        </a:p>
      </xdr:txBody>
    </xdr:sp>
    <xdr:clientData/>
  </xdr:twoCellAnchor>
  <xdr:twoCellAnchor>
    <xdr:from>
      <xdr:col>0</xdr:col>
      <xdr:colOff>100445</xdr:colOff>
      <xdr:row>425</xdr:row>
      <xdr:rowOff>61479</xdr:rowOff>
    </xdr:from>
    <xdr:to>
      <xdr:col>11</xdr:col>
      <xdr:colOff>51954</xdr:colOff>
      <xdr:row>438</xdr:row>
      <xdr:rowOff>80529</xdr:rowOff>
    </xdr:to>
    <xdr:sp macro="" textlink="">
      <xdr:nvSpPr>
        <xdr:cNvPr id="9" name="AutoShape 4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 bwMode="auto">
        <a:xfrm>
          <a:off x="100445" y="100810002"/>
          <a:ext cx="9718964" cy="2192482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1">
            <a:defRPr sz="1000"/>
          </a:pPr>
          <a:r>
            <a:rPr lang="es-ES" sz="1400" b="1" i="1" u="sng" strike="noStrike">
              <a:solidFill>
                <a:srgbClr val="000000"/>
              </a:solidFill>
              <a:latin typeface="Times New Roman"/>
              <a:cs typeface="Times New Roman"/>
            </a:rPr>
            <a:t>ESTADO DE SITUACION DEL EDIFICIO AL CIERRE DEL EJERCICIO  ANUAL 2025</a:t>
          </a: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s-ES" sz="1200" b="1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DOLARES USA EN CUENTA CORRIENTE SCOTIABANK.........................U$S  81.758,37</a:t>
          </a:r>
        </a:p>
        <a:p>
          <a:pPr algn="l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CUENTA CORRIENTE SOCTIABANK................$</a:t>
          </a: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 152.330,26</a:t>
          </a: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</a:p>
        <a:p>
          <a:pPr algn="l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PESOS URUGUAYOS EN CAJA EFECTIVO..................................................$</a:t>
          </a: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196.338,64</a:t>
          </a:r>
        </a:p>
        <a:p>
          <a:pPr algn="l" rtl="1">
            <a:defRPr sz="1000"/>
          </a:pPr>
          <a:endParaRPr lang="es-E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1"/>
  <sheetViews>
    <sheetView tabSelected="1" topLeftCell="A243" zoomScale="115" zoomScaleNormal="115" workbookViewId="0">
      <selection activeCell="G407" sqref="G407"/>
    </sheetView>
  </sheetViews>
  <sheetFormatPr baseColWidth="10" defaultRowHeight="12.75" x14ac:dyDescent="0.2"/>
  <cols>
    <col min="1" max="1" width="4.7109375" customWidth="1"/>
    <col min="2" max="2" width="8.7109375" customWidth="1"/>
    <col min="3" max="3" width="7.7109375" customWidth="1"/>
    <col min="4" max="4" width="8.7109375" customWidth="1"/>
    <col min="5" max="5" width="28.7109375" customWidth="1"/>
    <col min="6" max="11" width="14.7109375" customWidth="1"/>
    <col min="12" max="13" width="10.7109375" customWidth="1"/>
    <col min="14" max="15" width="9.7109375" customWidth="1"/>
    <col min="19" max="19" width="12.85546875" bestFit="1" customWidth="1"/>
  </cols>
  <sheetData>
    <row r="1" spans="1:11" ht="27.75" x14ac:dyDescent="0.4">
      <c r="C1" s="4" t="s">
        <v>8</v>
      </c>
      <c r="D1" s="4"/>
      <c r="E1" s="4"/>
      <c r="F1" s="5"/>
      <c r="G1" s="5"/>
      <c r="H1" s="1"/>
    </row>
    <row r="2" spans="1:11" s="43" customFormat="1" x14ac:dyDescent="0.2"/>
    <row r="3" spans="1:11" s="43" customFormat="1" ht="20.25" x14ac:dyDescent="0.3">
      <c r="A3" s="44" t="s">
        <v>301</v>
      </c>
      <c r="B3" s="45"/>
      <c r="C3" s="46"/>
      <c r="D3" s="46"/>
      <c r="E3" s="46"/>
      <c r="F3" s="47"/>
    </row>
    <row r="4" spans="1:11" s="43" customFormat="1" x14ac:dyDescent="0.2"/>
    <row r="5" spans="1:11" s="43" customFormat="1" ht="24.75" x14ac:dyDescent="0.5">
      <c r="A5" s="48" t="s">
        <v>12</v>
      </c>
      <c r="B5" s="49"/>
      <c r="C5" s="49"/>
      <c r="D5" s="49"/>
    </row>
    <row r="6" spans="1:11" s="43" customFormat="1" ht="19.5" x14ac:dyDescent="0.35">
      <c r="A6" s="50" t="s">
        <v>9</v>
      </c>
      <c r="B6" s="51"/>
      <c r="C6" s="51"/>
      <c r="D6" s="51"/>
      <c r="E6" s="51"/>
      <c r="F6" s="52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0" t="s">
        <v>19</v>
      </c>
    </row>
    <row r="7" spans="1:11" s="43" customFormat="1" ht="18.75" x14ac:dyDescent="0.3">
      <c r="A7" s="6" t="s">
        <v>215</v>
      </c>
      <c r="B7" s="6"/>
      <c r="C7" s="6"/>
      <c r="D7" s="6"/>
      <c r="E7" s="6"/>
      <c r="F7" s="53">
        <v>69489</v>
      </c>
      <c r="G7" s="54">
        <v>64915</v>
      </c>
      <c r="H7" s="53">
        <v>72806</v>
      </c>
      <c r="I7" s="53">
        <v>72806</v>
      </c>
      <c r="J7" s="53">
        <v>72806</v>
      </c>
      <c r="K7" s="53">
        <v>72806</v>
      </c>
    </row>
    <row r="8" spans="1:11" s="43" customFormat="1" ht="18.75" x14ac:dyDescent="0.3">
      <c r="A8" s="6" t="s">
        <v>216</v>
      </c>
      <c r="B8" s="6"/>
      <c r="C8" s="6"/>
      <c r="D8" s="6"/>
      <c r="E8" s="6"/>
      <c r="F8" s="53">
        <v>38991</v>
      </c>
      <c r="G8" s="54"/>
      <c r="H8" s="53"/>
      <c r="I8" s="53"/>
      <c r="J8" s="53"/>
      <c r="K8" s="53"/>
    </row>
    <row r="9" spans="1:11" s="43" customFormat="1" ht="18.75" x14ac:dyDescent="0.3">
      <c r="A9" s="6" t="s">
        <v>211</v>
      </c>
      <c r="B9" s="6"/>
      <c r="C9" s="6"/>
      <c r="D9" s="6"/>
      <c r="E9" s="6"/>
      <c r="F9" s="53"/>
      <c r="G9" s="54"/>
      <c r="H9" s="53"/>
      <c r="I9" s="53"/>
      <c r="J9" s="53"/>
      <c r="K9" s="53"/>
    </row>
    <row r="10" spans="1:11" s="43" customFormat="1" ht="18.75" x14ac:dyDescent="0.3">
      <c r="A10" s="6" t="s">
        <v>197</v>
      </c>
      <c r="B10" s="6"/>
      <c r="C10" s="6"/>
      <c r="D10" s="6"/>
      <c r="E10" s="6"/>
      <c r="F10" s="53">
        <v>36156</v>
      </c>
      <c r="G10" s="54">
        <v>36481</v>
      </c>
      <c r="H10" s="53">
        <v>37908</v>
      </c>
      <c r="I10" s="53">
        <v>37120</v>
      </c>
      <c r="J10" s="53">
        <v>36333</v>
      </c>
      <c r="K10" s="53">
        <v>35545</v>
      </c>
    </row>
    <row r="11" spans="1:11" s="43" customFormat="1" ht="18.75" x14ac:dyDescent="0.3">
      <c r="A11" s="6" t="s">
        <v>235</v>
      </c>
      <c r="B11" s="6"/>
      <c r="C11" s="6"/>
      <c r="D11" s="6"/>
      <c r="E11" s="6"/>
      <c r="F11" s="53">
        <f>11885+6177</f>
        <v>18062</v>
      </c>
      <c r="G11" s="54">
        <v>11976</v>
      </c>
      <c r="H11" s="53">
        <v>12445</v>
      </c>
      <c r="I11" s="53">
        <v>12223</v>
      </c>
      <c r="J11" s="53">
        <v>12000</v>
      </c>
      <c r="K11" s="53">
        <v>11778</v>
      </c>
    </row>
    <row r="12" spans="1:11" s="43" customFormat="1" ht="18.75" x14ac:dyDescent="0.3">
      <c r="A12" s="6" t="s">
        <v>184</v>
      </c>
      <c r="B12" s="6"/>
      <c r="C12" s="6"/>
      <c r="D12" s="6"/>
      <c r="E12" s="6"/>
      <c r="F12" s="53">
        <v>21900</v>
      </c>
      <c r="G12" s="54"/>
      <c r="H12" s="53"/>
      <c r="I12" s="53"/>
      <c r="J12" s="53"/>
      <c r="K12" s="53"/>
    </row>
    <row r="13" spans="1:11" s="43" customFormat="1" ht="18.75" x14ac:dyDescent="0.3">
      <c r="A13" s="6" t="s">
        <v>211</v>
      </c>
      <c r="B13" s="6"/>
      <c r="C13" s="6"/>
      <c r="D13" s="6"/>
      <c r="E13" s="6"/>
      <c r="F13" s="53"/>
      <c r="G13" s="54"/>
      <c r="H13" s="53"/>
      <c r="I13" s="53"/>
      <c r="J13" s="53"/>
      <c r="K13" s="53"/>
    </row>
    <row r="14" spans="1:11" s="43" customFormat="1" ht="18.75" x14ac:dyDescent="0.3">
      <c r="A14" s="6" t="s">
        <v>207</v>
      </c>
      <c r="B14" s="6"/>
      <c r="C14" s="6"/>
      <c r="D14" s="6"/>
      <c r="E14" s="6"/>
      <c r="F14" s="53">
        <v>42985</v>
      </c>
      <c r="G14" s="54">
        <v>44242</v>
      </c>
      <c r="H14" s="53">
        <v>45773</v>
      </c>
      <c r="I14" s="53">
        <v>44563</v>
      </c>
      <c r="J14" s="53">
        <v>45593</v>
      </c>
      <c r="K14" s="53">
        <v>44838</v>
      </c>
    </row>
    <row r="15" spans="1:11" s="43" customFormat="1" ht="18.75" x14ac:dyDescent="0.3">
      <c r="A15" s="6" t="s">
        <v>208</v>
      </c>
      <c r="B15" s="6"/>
      <c r="C15" s="6"/>
      <c r="D15" s="6"/>
      <c r="E15" s="6"/>
      <c r="F15" s="53">
        <v>21549</v>
      </c>
      <c r="G15" s="54"/>
      <c r="H15" s="53"/>
      <c r="I15" s="53"/>
      <c r="J15" s="53"/>
      <c r="K15" s="53"/>
    </row>
    <row r="16" spans="1:11" s="43" customFormat="1" ht="18.75" x14ac:dyDescent="0.3">
      <c r="A16" s="6" t="s">
        <v>211</v>
      </c>
      <c r="B16" s="6"/>
      <c r="C16" s="6"/>
      <c r="D16" s="6"/>
      <c r="E16" s="6"/>
      <c r="F16" s="53"/>
      <c r="G16" s="55"/>
      <c r="H16" s="53"/>
      <c r="I16" s="53"/>
      <c r="J16" s="53"/>
      <c r="K16" s="53"/>
    </row>
    <row r="17" spans="1:11" s="43" customFormat="1" ht="18.75" x14ac:dyDescent="0.3">
      <c r="A17" s="6" t="s">
        <v>256</v>
      </c>
      <c r="B17" s="56"/>
      <c r="C17" s="56"/>
      <c r="D17" s="56"/>
      <c r="E17" s="56"/>
      <c r="F17" s="53">
        <v>42374</v>
      </c>
      <c r="G17" s="54">
        <v>41687</v>
      </c>
      <c r="H17" s="57">
        <v>43303</v>
      </c>
      <c r="I17" s="57">
        <v>43105</v>
      </c>
      <c r="J17" s="57">
        <v>44226</v>
      </c>
      <c r="K17" s="57">
        <v>43105</v>
      </c>
    </row>
    <row r="18" spans="1:11" s="43" customFormat="1" ht="18.75" x14ac:dyDescent="0.3">
      <c r="A18" s="56" t="s">
        <v>257</v>
      </c>
      <c r="B18" s="56"/>
      <c r="C18" s="56"/>
      <c r="D18" s="56"/>
      <c r="E18" s="56"/>
      <c r="F18" s="53">
        <v>20765</v>
      </c>
      <c r="G18" s="54"/>
      <c r="H18" s="57"/>
      <c r="I18" s="57"/>
      <c r="J18" s="57"/>
      <c r="K18" s="57"/>
    </row>
    <row r="19" spans="1:11" s="43" customFormat="1" ht="18.75" x14ac:dyDescent="0.3">
      <c r="A19" s="6" t="s">
        <v>211</v>
      </c>
      <c r="B19" s="56"/>
      <c r="C19" s="56"/>
      <c r="D19" s="56"/>
      <c r="E19" s="56"/>
      <c r="F19" s="53"/>
      <c r="G19" s="54"/>
      <c r="H19" s="57"/>
      <c r="I19" s="57"/>
      <c r="J19" s="57"/>
      <c r="K19" s="57">
        <v>28679</v>
      </c>
    </row>
    <row r="20" spans="1:11" s="43" customFormat="1" ht="18.75" x14ac:dyDescent="0.3">
      <c r="A20" s="6" t="s">
        <v>231</v>
      </c>
      <c r="B20" s="58"/>
      <c r="C20" s="58"/>
      <c r="D20" s="58"/>
      <c r="E20" s="58"/>
      <c r="F20" s="53">
        <v>37838</v>
      </c>
      <c r="G20" s="54">
        <v>35792</v>
      </c>
      <c r="H20" s="53">
        <v>38464</v>
      </c>
      <c r="I20" s="53">
        <v>38464</v>
      </c>
      <c r="J20" s="53">
        <v>39595</v>
      </c>
      <c r="K20" s="53">
        <v>38464</v>
      </c>
    </row>
    <row r="21" spans="1:11" s="43" customFormat="1" ht="18.75" x14ac:dyDescent="0.3">
      <c r="A21" s="6" t="s">
        <v>232</v>
      </c>
      <c r="B21" s="6"/>
      <c r="C21" s="6"/>
      <c r="D21" s="6"/>
      <c r="E21" s="6"/>
      <c r="F21" s="53">
        <v>18441</v>
      </c>
      <c r="G21" s="55"/>
      <c r="H21" s="53"/>
      <c r="I21" s="53"/>
      <c r="J21" s="53"/>
      <c r="K21" s="53"/>
    </row>
    <row r="22" spans="1:11" s="43" customFormat="1" ht="18.75" x14ac:dyDescent="0.3">
      <c r="A22" s="6" t="s">
        <v>211</v>
      </c>
      <c r="B22" s="6"/>
      <c r="C22" s="6"/>
      <c r="D22" s="6"/>
      <c r="E22" s="6"/>
      <c r="F22" s="53"/>
      <c r="G22" s="54"/>
      <c r="H22" s="53"/>
      <c r="I22" s="53"/>
      <c r="J22" s="53"/>
      <c r="K22" s="53"/>
    </row>
    <row r="23" spans="1:11" s="43" customFormat="1" ht="18.75" x14ac:dyDescent="0.3">
      <c r="A23" s="6" t="s">
        <v>242</v>
      </c>
      <c r="B23" s="6"/>
      <c r="C23" s="6"/>
      <c r="D23" s="6"/>
      <c r="E23" s="6"/>
      <c r="F23" s="53">
        <v>42953</v>
      </c>
      <c r="G23" s="54">
        <v>30231</v>
      </c>
      <c r="H23" s="53"/>
      <c r="I23" s="53"/>
      <c r="J23" s="53"/>
      <c r="K23" s="53"/>
    </row>
    <row r="24" spans="1:11" s="43" customFormat="1" ht="18.75" x14ac:dyDescent="0.3">
      <c r="A24" s="6" t="s">
        <v>241</v>
      </c>
      <c r="B24" s="6"/>
      <c r="C24" s="6"/>
      <c r="D24" s="6"/>
      <c r="E24" s="6"/>
      <c r="F24" s="53">
        <v>22427</v>
      </c>
      <c r="G24" s="54"/>
      <c r="H24" s="53"/>
      <c r="I24" s="53"/>
      <c r="J24" s="53"/>
      <c r="K24" s="53"/>
    </row>
    <row r="25" spans="1:11" s="43" customFormat="1" ht="18.75" x14ac:dyDescent="0.3">
      <c r="A25" s="6" t="s">
        <v>259</v>
      </c>
      <c r="B25" s="6"/>
      <c r="C25" s="6"/>
      <c r="D25" s="6"/>
      <c r="E25" s="6"/>
      <c r="F25" s="53"/>
      <c r="G25" s="54">
        <v>73227</v>
      </c>
      <c r="H25" s="53"/>
      <c r="I25" s="53"/>
      <c r="J25" s="53"/>
      <c r="K25" s="53"/>
    </row>
    <row r="26" spans="1:11" s="43" customFormat="1" ht="18.75" x14ac:dyDescent="0.3">
      <c r="A26" s="6" t="s">
        <v>230</v>
      </c>
      <c r="B26" s="6"/>
      <c r="C26" s="6"/>
      <c r="D26" s="6"/>
      <c r="E26" s="6"/>
      <c r="F26" s="53">
        <v>59906</v>
      </c>
      <c r="G26" s="54">
        <v>65935</v>
      </c>
      <c r="H26" s="53">
        <v>67033</v>
      </c>
      <c r="I26" s="53">
        <v>65708</v>
      </c>
      <c r="J26" s="53">
        <v>67033</v>
      </c>
      <c r="K26" s="53">
        <v>81136</v>
      </c>
    </row>
    <row r="27" spans="1:11" s="43" customFormat="1" ht="18.75" x14ac:dyDescent="0.3">
      <c r="A27" s="6" t="s">
        <v>221</v>
      </c>
      <c r="B27" s="6"/>
      <c r="C27" s="6"/>
      <c r="D27" s="6"/>
      <c r="E27" s="6"/>
      <c r="F27" s="53">
        <v>32767</v>
      </c>
      <c r="G27" s="54"/>
      <c r="H27" s="53"/>
      <c r="I27" s="53"/>
      <c r="J27" s="53"/>
      <c r="K27" s="53"/>
    </row>
    <row r="28" spans="1:11" s="43" customFormat="1" ht="18.75" x14ac:dyDescent="0.3">
      <c r="A28" s="6" t="s">
        <v>211</v>
      </c>
      <c r="B28" s="6"/>
      <c r="C28" s="6"/>
      <c r="D28" s="6"/>
      <c r="E28" s="6"/>
      <c r="F28" s="53"/>
      <c r="G28" s="54"/>
      <c r="H28" s="53"/>
      <c r="I28" s="53"/>
      <c r="J28" s="53"/>
      <c r="K28" s="53"/>
    </row>
    <row r="29" spans="1:11" s="43" customFormat="1" ht="18.75" x14ac:dyDescent="0.3">
      <c r="A29" s="6" t="s">
        <v>24</v>
      </c>
      <c r="B29" s="6"/>
      <c r="C29" s="6"/>
      <c r="D29" s="6"/>
      <c r="E29" s="6"/>
      <c r="F29" s="57">
        <v>45925</v>
      </c>
      <c r="G29" s="54">
        <v>46213</v>
      </c>
      <c r="H29" s="53">
        <v>48460</v>
      </c>
      <c r="I29" s="53">
        <v>40015</v>
      </c>
      <c r="J29" s="53">
        <v>47897</v>
      </c>
      <c r="K29" s="53">
        <v>46410</v>
      </c>
    </row>
    <row r="30" spans="1:11" s="43" customFormat="1" ht="18.75" x14ac:dyDescent="0.3">
      <c r="A30" s="6" t="s">
        <v>23</v>
      </c>
      <c r="B30" s="6"/>
      <c r="C30" s="6"/>
      <c r="D30" s="6"/>
      <c r="E30" s="6"/>
      <c r="F30" s="53">
        <v>22412</v>
      </c>
      <c r="G30" s="54"/>
      <c r="H30" s="53"/>
      <c r="I30" s="53"/>
      <c r="J30" s="53"/>
      <c r="K30" s="53"/>
    </row>
    <row r="31" spans="1:11" s="43" customFormat="1" ht="18.75" x14ac:dyDescent="0.3">
      <c r="A31" s="6" t="s">
        <v>211</v>
      </c>
      <c r="B31" s="56"/>
      <c r="C31" s="56"/>
      <c r="D31" s="56"/>
      <c r="E31" s="56"/>
      <c r="F31" s="53"/>
      <c r="G31" s="54"/>
      <c r="H31" s="57"/>
      <c r="I31" s="57"/>
      <c r="J31" s="57">
        <f>42440</f>
        <v>42440</v>
      </c>
      <c r="K31" s="57"/>
    </row>
    <row r="32" spans="1:11" s="43" customFormat="1" ht="18.75" x14ac:dyDescent="0.3">
      <c r="A32" s="6" t="s">
        <v>218</v>
      </c>
      <c r="B32" s="6"/>
      <c r="C32" s="6"/>
      <c r="D32" s="6"/>
      <c r="E32" s="6"/>
      <c r="F32" s="57">
        <v>45587</v>
      </c>
      <c r="G32" s="55">
        <v>42629</v>
      </c>
      <c r="H32" s="57">
        <v>47563</v>
      </c>
      <c r="I32" s="57">
        <v>47563</v>
      </c>
      <c r="J32" s="57">
        <v>48049</v>
      </c>
      <c r="K32" s="57">
        <v>47563</v>
      </c>
    </row>
    <row r="33" spans="1:11" s="43" customFormat="1" ht="18.75" x14ac:dyDescent="0.3">
      <c r="A33" s="6" t="s">
        <v>219</v>
      </c>
      <c r="B33" s="6"/>
      <c r="C33" s="6"/>
      <c r="D33" s="6"/>
      <c r="E33" s="6"/>
      <c r="F33" s="53">
        <v>22925</v>
      </c>
      <c r="G33" s="54"/>
      <c r="H33" s="53"/>
      <c r="I33" s="53"/>
      <c r="J33" s="53"/>
      <c r="K33" s="53"/>
    </row>
    <row r="34" spans="1:11" s="43" customFormat="1" ht="18.75" x14ac:dyDescent="0.3">
      <c r="A34" s="6" t="s">
        <v>211</v>
      </c>
      <c r="B34" s="6"/>
      <c r="C34" s="6"/>
      <c r="D34" s="6"/>
      <c r="E34" s="6"/>
      <c r="F34" s="53"/>
      <c r="G34" s="54"/>
      <c r="H34" s="53"/>
      <c r="I34" s="53"/>
      <c r="J34" s="53"/>
      <c r="K34" s="53"/>
    </row>
    <row r="35" spans="1:11" s="43" customFormat="1" ht="18.75" x14ac:dyDescent="0.3">
      <c r="A35" s="6" t="s">
        <v>190</v>
      </c>
      <c r="B35" s="6"/>
      <c r="C35" s="6"/>
      <c r="D35" s="6"/>
      <c r="E35" s="6"/>
      <c r="F35" s="53">
        <v>41321</v>
      </c>
      <c r="G35" s="54">
        <v>42691</v>
      </c>
      <c r="H35" s="53">
        <v>43180</v>
      </c>
      <c r="I35" s="53">
        <v>43180</v>
      </c>
      <c r="J35" s="53">
        <v>43180</v>
      </c>
      <c r="K35" s="53">
        <v>43180</v>
      </c>
    </row>
    <row r="36" spans="1:11" s="43" customFormat="1" ht="18.75" x14ac:dyDescent="0.3">
      <c r="A36" s="6" t="s">
        <v>191</v>
      </c>
      <c r="B36" s="6"/>
      <c r="C36" s="6"/>
      <c r="D36" s="6"/>
      <c r="E36" s="6"/>
      <c r="F36" s="53">
        <v>20530</v>
      </c>
      <c r="G36" s="54"/>
      <c r="H36" s="53"/>
      <c r="I36" s="53"/>
      <c r="J36" s="53"/>
      <c r="K36" s="53"/>
    </row>
    <row r="37" spans="1:11" s="43" customFormat="1" ht="18.75" x14ac:dyDescent="0.3">
      <c r="A37" s="6" t="s">
        <v>211</v>
      </c>
      <c r="B37" s="56"/>
      <c r="C37" s="56"/>
      <c r="D37" s="56"/>
      <c r="E37" s="56"/>
      <c r="F37" s="53"/>
      <c r="G37" s="54"/>
      <c r="H37" s="53"/>
      <c r="I37" s="53"/>
      <c r="J37" s="53"/>
      <c r="K37" s="53"/>
    </row>
    <row r="38" spans="1:11" s="43" customFormat="1" ht="18.75" x14ac:dyDescent="0.3">
      <c r="A38" s="6" t="s">
        <v>287</v>
      </c>
      <c r="B38" s="6"/>
      <c r="C38" s="6"/>
      <c r="D38" s="6"/>
      <c r="E38" s="6"/>
      <c r="F38" s="53">
        <v>38662</v>
      </c>
      <c r="G38" s="54">
        <v>37578</v>
      </c>
      <c r="H38" s="53">
        <v>38122</v>
      </c>
      <c r="I38" s="53">
        <v>38551</v>
      </c>
      <c r="J38" s="53">
        <v>39114</v>
      </c>
      <c r="K38" s="53">
        <v>38846</v>
      </c>
    </row>
    <row r="39" spans="1:11" s="43" customFormat="1" ht="18.75" x14ac:dyDescent="0.3">
      <c r="A39" s="6" t="s">
        <v>288</v>
      </c>
      <c r="B39" s="6"/>
      <c r="C39" s="6"/>
      <c r="D39" s="6"/>
      <c r="E39" s="6"/>
      <c r="F39" s="53">
        <v>18784</v>
      </c>
      <c r="G39" s="54"/>
      <c r="H39" s="53"/>
      <c r="I39" s="53"/>
      <c r="J39" s="53"/>
      <c r="K39" s="53"/>
    </row>
    <row r="40" spans="1:11" s="43" customFormat="1" ht="18.75" x14ac:dyDescent="0.3">
      <c r="A40" s="6" t="s">
        <v>259</v>
      </c>
      <c r="B40" s="56"/>
      <c r="C40" s="56"/>
      <c r="D40" s="56"/>
      <c r="E40" s="56"/>
      <c r="F40" s="53"/>
      <c r="G40" s="54"/>
      <c r="H40" s="53"/>
      <c r="I40" s="53"/>
      <c r="J40" s="53"/>
      <c r="K40" s="53"/>
    </row>
    <row r="41" spans="1:11" s="43" customFormat="1" ht="18.75" x14ac:dyDescent="0.3">
      <c r="A41" s="6" t="s">
        <v>246</v>
      </c>
      <c r="B41" s="6"/>
      <c r="C41" s="6"/>
      <c r="D41" s="6"/>
      <c r="E41" s="6"/>
      <c r="F41" s="53">
        <v>36530</v>
      </c>
      <c r="G41" s="54"/>
      <c r="H41" s="53"/>
      <c r="I41" s="53"/>
      <c r="J41" s="53"/>
      <c r="K41" s="53"/>
    </row>
    <row r="42" spans="1:11" s="43" customFormat="1" ht="18.75" x14ac:dyDescent="0.3">
      <c r="A42" s="6" t="s">
        <v>259</v>
      </c>
      <c r="B42" s="6"/>
      <c r="C42" s="6"/>
      <c r="D42" s="6"/>
      <c r="E42" s="6"/>
      <c r="F42" s="53">
        <v>68276</v>
      </c>
      <c r="G42" s="54"/>
      <c r="H42" s="53"/>
      <c r="I42" s="53"/>
      <c r="J42" s="53"/>
      <c r="K42" s="53"/>
    </row>
    <row r="43" spans="1:11" s="43" customFormat="1" ht="18.75" x14ac:dyDescent="0.3">
      <c r="A43" s="6" t="s">
        <v>211</v>
      </c>
      <c r="B43" s="56"/>
      <c r="C43" s="56"/>
      <c r="D43" s="56"/>
      <c r="E43" s="56"/>
      <c r="F43" s="53"/>
      <c r="G43" s="54"/>
      <c r="H43" s="53"/>
      <c r="I43" s="53"/>
      <c r="J43" s="53"/>
      <c r="K43" s="53"/>
    </row>
    <row r="44" spans="1:11" s="43" customFormat="1" ht="18.75" x14ac:dyDescent="0.3">
      <c r="A44" s="6" t="s">
        <v>302</v>
      </c>
      <c r="B44" s="6"/>
      <c r="C44" s="6"/>
      <c r="D44" s="6"/>
      <c r="E44" s="6"/>
      <c r="F44" s="53"/>
      <c r="G44" s="54">
        <v>35689</v>
      </c>
      <c r="H44" s="53">
        <v>36362</v>
      </c>
      <c r="I44" s="53">
        <v>36362</v>
      </c>
      <c r="J44" s="53">
        <v>36362</v>
      </c>
      <c r="K44" s="53">
        <v>36362</v>
      </c>
    </row>
    <row r="45" spans="1:11" s="43" customFormat="1" ht="18.75" x14ac:dyDescent="0.3">
      <c r="A45" s="6" t="s">
        <v>251</v>
      </c>
      <c r="B45" s="6"/>
      <c r="C45" s="6"/>
      <c r="D45" s="6"/>
      <c r="E45" s="6"/>
      <c r="F45" s="53"/>
      <c r="G45" s="54"/>
      <c r="H45" s="53"/>
      <c r="I45" s="53"/>
      <c r="J45" s="53"/>
      <c r="K45" s="53"/>
    </row>
    <row r="46" spans="1:11" s="43" customFormat="1" ht="18.75" x14ac:dyDescent="0.3">
      <c r="A46" s="6" t="s">
        <v>303</v>
      </c>
      <c r="B46" s="6"/>
      <c r="C46" s="6"/>
      <c r="D46" s="6"/>
      <c r="E46" s="6"/>
      <c r="F46" s="53"/>
      <c r="G46" s="54"/>
      <c r="H46" s="53">
        <v>20893</v>
      </c>
      <c r="I46" s="53">
        <v>29497</v>
      </c>
      <c r="J46" s="53"/>
      <c r="K46" s="53"/>
    </row>
    <row r="47" spans="1:11" s="43" customFormat="1" ht="18.75" x14ac:dyDescent="0.3">
      <c r="A47" s="6" t="s">
        <v>258</v>
      </c>
      <c r="B47" s="6"/>
      <c r="C47" s="6"/>
      <c r="D47" s="6"/>
      <c r="E47" s="6"/>
      <c r="F47" s="53"/>
      <c r="G47" s="54"/>
      <c r="H47" s="53"/>
      <c r="I47" s="53">
        <v>9839</v>
      </c>
      <c r="J47" s="53"/>
      <c r="K47" s="53"/>
    </row>
    <row r="48" spans="1:11" s="43" customFormat="1" ht="18.75" x14ac:dyDescent="0.3">
      <c r="A48" s="56" t="s">
        <v>198</v>
      </c>
      <c r="B48" s="56"/>
      <c r="C48" s="56"/>
      <c r="D48" s="56"/>
      <c r="E48" s="56"/>
      <c r="F48" s="53"/>
      <c r="G48" s="54"/>
      <c r="H48" s="53"/>
      <c r="I48" s="53"/>
      <c r="J48" s="53"/>
      <c r="K48" s="53"/>
    </row>
    <row r="49" spans="1:11" s="43" customFormat="1" ht="18.75" x14ac:dyDescent="0.3">
      <c r="A49" s="6" t="s">
        <v>240</v>
      </c>
      <c r="B49" s="6"/>
      <c r="C49" s="6"/>
      <c r="D49" s="6"/>
      <c r="E49" s="6"/>
      <c r="F49" s="53"/>
      <c r="G49" s="54"/>
      <c r="H49" s="53"/>
      <c r="I49" s="53"/>
      <c r="J49" s="53"/>
      <c r="K49" s="53"/>
    </row>
    <row r="50" spans="1:11" s="43" customFormat="1" ht="18.75" x14ac:dyDescent="0.3">
      <c r="A50" s="6" t="s">
        <v>25</v>
      </c>
      <c r="B50" s="6"/>
      <c r="C50" s="6"/>
      <c r="D50" s="6"/>
      <c r="E50" s="6"/>
      <c r="F50" s="53">
        <v>66341</v>
      </c>
      <c r="G50" s="54">
        <v>64663</v>
      </c>
      <c r="H50" s="53">
        <v>62140</v>
      </c>
      <c r="I50" s="54">
        <v>63374</v>
      </c>
      <c r="J50" s="53">
        <v>63374</v>
      </c>
      <c r="K50" s="59">
        <v>63374</v>
      </c>
    </row>
    <row r="51" spans="1:11" s="43" customFormat="1" ht="18.75" x14ac:dyDescent="0.3">
      <c r="A51" s="6" t="s">
        <v>250</v>
      </c>
      <c r="B51" s="6"/>
      <c r="C51" s="6"/>
      <c r="D51" s="6"/>
      <c r="E51" s="6"/>
      <c r="F51" s="54">
        <f>1748+23590+15032+3370+4999.6+714</f>
        <v>49453.599999999999</v>
      </c>
      <c r="G51" s="54"/>
      <c r="H51" s="53"/>
      <c r="I51" s="53">
        <f>51708+8795.4</f>
        <v>60503.4</v>
      </c>
      <c r="J51" s="53"/>
      <c r="K51" s="53">
        <f>20364</f>
        <v>20364</v>
      </c>
    </row>
    <row r="52" spans="1:11" s="43" customFormat="1" ht="18.75" x14ac:dyDescent="0.3">
      <c r="A52" s="6" t="s">
        <v>27</v>
      </c>
      <c r="B52" s="6"/>
      <c r="C52" s="6"/>
      <c r="D52" s="6"/>
      <c r="E52" s="6"/>
      <c r="F52" s="53">
        <f>250219+41078</f>
        <v>291297</v>
      </c>
      <c r="G52" s="54">
        <f>42651+320376</f>
        <v>363027</v>
      </c>
      <c r="H52" s="53">
        <f>240908+25645</f>
        <v>266553</v>
      </c>
      <c r="I52" s="53">
        <v>263949</v>
      </c>
      <c r="J52" s="53">
        <f>24926+231074</f>
        <v>256000</v>
      </c>
      <c r="K52" s="53">
        <v>272594</v>
      </c>
    </row>
    <row r="53" spans="1:11" s="43" customFormat="1" ht="18.75" x14ac:dyDescent="0.3">
      <c r="A53" s="6" t="s">
        <v>26</v>
      </c>
      <c r="B53" s="6"/>
      <c r="C53" s="6"/>
      <c r="D53" s="6"/>
      <c r="E53" s="6"/>
      <c r="F53" s="53">
        <v>15855</v>
      </c>
      <c r="G53" s="54">
        <v>16576</v>
      </c>
      <c r="H53" s="53">
        <v>22596</v>
      </c>
      <c r="I53" s="53">
        <v>15860</v>
      </c>
      <c r="J53" s="53">
        <v>15837</v>
      </c>
      <c r="K53" s="53">
        <v>15307</v>
      </c>
    </row>
    <row r="54" spans="1:11" s="43" customFormat="1" ht="18.75" x14ac:dyDescent="0.3">
      <c r="A54" s="6" t="s">
        <v>44</v>
      </c>
      <c r="B54" s="6"/>
      <c r="C54" s="6"/>
      <c r="D54" s="6"/>
      <c r="E54" s="6"/>
      <c r="F54" s="53">
        <v>30144</v>
      </c>
      <c r="G54" s="54"/>
      <c r="H54" s="53"/>
      <c r="I54" s="53"/>
      <c r="J54" s="53"/>
      <c r="K54" s="53"/>
    </row>
    <row r="55" spans="1:11" s="43" customFormat="1" ht="18.75" x14ac:dyDescent="0.3">
      <c r="A55" s="6" t="s">
        <v>45</v>
      </c>
      <c r="B55" s="6"/>
      <c r="C55" s="6"/>
      <c r="D55" s="6"/>
      <c r="E55" s="6"/>
      <c r="F55" s="53">
        <v>10934</v>
      </c>
      <c r="G55" s="54"/>
      <c r="H55" s="53"/>
      <c r="I55" s="53"/>
      <c r="J55" s="53"/>
      <c r="K55" s="53"/>
    </row>
    <row r="56" spans="1:11" s="43" customFormat="1" ht="18.75" x14ac:dyDescent="0.3">
      <c r="A56" s="6" t="s">
        <v>28</v>
      </c>
      <c r="B56" s="6"/>
      <c r="C56" s="6"/>
      <c r="D56" s="6"/>
      <c r="E56" s="6"/>
      <c r="F56" s="53">
        <f>5692+5417+26468+5795+13892</f>
        <v>57264</v>
      </c>
      <c r="G56" s="54">
        <f>3025+25998+13286+17749+2924</f>
        <v>62982</v>
      </c>
      <c r="H56" s="53">
        <f>36148+16605+60954+6849+7387</f>
        <v>127943</v>
      </c>
      <c r="I56" s="136">
        <f>28270+34400+5410+6218+13921</f>
        <v>88219</v>
      </c>
      <c r="J56" s="53">
        <f>7293+10417+13852+5477+27558</f>
        <v>64597</v>
      </c>
      <c r="K56" s="53">
        <f>5255+26598+5903+11072+13508</f>
        <v>62336</v>
      </c>
    </row>
    <row r="57" spans="1:11" s="43" customFormat="1" ht="18.75" x14ac:dyDescent="0.3">
      <c r="A57" s="6" t="s">
        <v>29</v>
      </c>
      <c r="B57" s="6"/>
      <c r="C57" s="6"/>
      <c r="D57" s="6"/>
      <c r="E57" s="6"/>
      <c r="F57" s="53">
        <f>5300+11701</f>
        <v>17001</v>
      </c>
      <c r="G57" s="54">
        <f>11944+5369</f>
        <v>17313</v>
      </c>
      <c r="H57" s="53">
        <f>5447+12305</f>
        <v>17752</v>
      </c>
      <c r="I57" s="53">
        <f>12444+5607</f>
        <v>18051</v>
      </c>
      <c r="J57" s="53">
        <f>5605+12643</f>
        <v>18248</v>
      </c>
      <c r="K57" s="53">
        <f>12235+5605</f>
        <v>17840</v>
      </c>
    </row>
    <row r="58" spans="1:11" s="43" customFormat="1" ht="18.75" x14ac:dyDescent="0.3">
      <c r="A58" s="6" t="s">
        <v>30</v>
      </c>
      <c r="B58" s="6"/>
      <c r="C58" s="6"/>
      <c r="D58" s="6"/>
      <c r="E58" s="6"/>
      <c r="F58" s="53">
        <v>261140.34</v>
      </c>
      <c r="G58" s="54">
        <v>261140.34</v>
      </c>
      <c r="H58" s="53">
        <v>283078.28999999998</v>
      </c>
      <c r="I58" s="53">
        <v>290136.28999999998</v>
      </c>
      <c r="J58" s="53">
        <v>279420</v>
      </c>
      <c r="K58" s="53">
        <v>279419.28999999998</v>
      </c>
    </row>
    <row r="59" spans="1:11" s="43" customFormat="1" ht="18.75" x14ac:dyDescent="0.3">
      <c r="A59" s="6" t="s">
        <v>31</v>
      </c>
      <c r="B59" s="6"/>
      <c r="C59" s="6"/>
      <c r="D59" s="6"/>
      <c r="E59" s="6"/>
      <c r="F59" s="53"/>
      <c r="G59" s="54"/>
      <c r="H59" s="53"/>
      <c r="I59" s="53"/>
      <c r="J59" s="53"/>
      <c r="K59" s="53"/>
    </row>
    <row r="60" spans="1:11" s="43" customFormat="1" ht="18.75" x14ac:dyDescent="0.3">
      <c r="A60" s="6" t="s">
        <v>32</v>
      </c>
      <c r="B60" s="6"/>
      <c r="C60" s="6"/>
      <c r="D60" s="6"/>
      <c r="E60" s="6"/>
      <c r="F60" s="53">
        <v>51346</v>
      </c>
      <c r="G60" s="54">
        <v>51346</v>
      </c>
      <c r="H60" s="53"/>
      <c r="I60" s="53">
        <v>102692</v>
      </c>
      <c r="J60" s="53">
        <v>51346</v>
      </c>
      <c r="K60" s="53">
        <v>51346</v>
      </c>
    </row>
    <row r="61" spans="1:11" s="43" customFormat="1" ht="18.75" x14ac:dyDescent="0.3">
      <c r="A61" s="6" t="s">
        <v>261</v>
      </c>
      <c r="B61" s="6"/>
      <c r="C61" s="6"/>
      <c r="D61" s="6"/>
      <c r="E61" s="6"/>
      <c r="F61" s="53">
        <f>90.41+90.41+90.42+90.42+90.43+92.31+92.31+92.31+180.92+875.77+6.67+90.49+90.53+90.54+90.56+90.57+92.45+92.45+92.45+92.45+1202.96</f>
        <v>3817.8299999999995</v>
      </c>
      <c r="G61" s="68">
        <f>92.56+92.56+90.79+92.67+92.67+92.67+4.34+92.7+92.75+92.75+92.76+363.6+1207.07</f>
        <v>2499.8900000000003</v>
      </c>
      <c r="H61" s="53">
        <f>1687.85+1218.63</f>
        <v>2906.48</v>
      </c>
      <c r="I61" s="34">
        <f>93.94+93.94+93.97+92.13+92.15+94.05+94.05+94.05+92.19+92.23+92.29+92.29+92.29+923.82+92.31+92.33+94.24+94.07+94.26+184.7+92.35+92.35+4.43+4.43+4.43+4.43+92.37+1228.07</f>
        <v>4308.1599999999989</v>
      </c>
      <c r="J61" s="60">
        <f>94.68+94.68+94.68+94.98+896+1235.27</f>
        <v>2510.29</v>
      </c>
      <c r="K61" s="68">
        <f>95.15+954.08+95.19+95.19+95.18+95.18+95.18+95.26+95.26+95.26+95.29+1239.75</f>
        <v>3145.9700000000003</v>
      </c>
    </row>
    <row r="62" spans="1:11" s="43" customFormat="1" ht="18.75" x14ac:dyDescent="0.3">
      <c r="A62" s="6" t="s">
        <v>40</v>
      </c>
      <c r="B62" s="6"/>
      <c r="C62" s="6"/>
      <c r="D62" s="6"/>
      <c r="E62" s="6"/>
      <c r="F62" s="53"/>
      <c r="G62" s="54"/>
      <c r="H62" s="53"/>
      <c r="I62" s="53"/>
      <c r="J62" s="53"/>
      <c r="K62" s="53"/>
    </row>
    <row r="63" spans="1:11" s="43" customFormat="1" ht="18.75" x14ac:dyDescent="0.3">
      <c r="A63" s="6" t="s">
        <v>35</v>
      </c>
      <c r="B63" s="6"/>
      <c r="C63" s="6"/>
      <c r="D63" s="6"/>
      <c r="E63" s="6"/>
      <c r="F63" s="53"/>
      <c r="G63" s="54"/>
      <c r="H63" s="53"/>
      <c r="I63" s="60"/>
      <c r="J63" s="53"/>
      <c r="K63" s="53"/>
    </row>
    <row r="64" spans="1:11" s="43" customFormat="1" ht="18.75" x14ac:dyDescent="0.3">
      <c r="A64" s="6" t="s">
        <v>36</v>
      </c>
      <c r="B64" s="6"/>
      <c r="C64" s="6"/>
      <c r="D64" s="6"/>
      <c r="E64" s="6"/>
      <c r="F64" s="54">
        <v>450000</v>
      </c>
      <c r="G64" s="54">
        <v>450000</v>
      </c>
      <c r="H64" s="53">
        <v>450000</v>
      </c>
      <c r="I64" s="53">
        <v>450000</v>
      </c>
      <c r="J64" s="53">
        <v>450000</v>
      </c>
      <c r="K64" s="53">
        <v>450000</v>
      </c>
    </row>
    <row r="65" spans="1:11" s="43" customFormat="1" ht="18.75" x14ac:dyDescent="0.3">
      <c r="A65" s="6" t="s">
        <v>264</v>
      </c>
      <c r="B65" s="6"/>
      <c r="C65" s="6"/>
      <c r="D65" s="6"/>
      <c r="E65" s="6"/>
      <c r="F65" s="54">
        <v>99000</v>
      </c>
      <c r="G65" s="54">
        <v>99000</v>
      </c>
      <c r="H65" s="53">
        <v>99000</v>
      </c>
      <c r="I65" s="53">
        <v>99000</v>
      </c>
      <c r="J65" s="53">
        <v>99000</v>
      </c>
      <c r="K65" s="53">
        <v>99000</v>
      </c>
    </row>
    <row r="66" spans="1:11" s="43" customFormat="1" ht="18.75" x14ac:dyDescent="0.3">
      <c r="A66" s="6" t="s">
        <v>286</v>
      </c>
      <c r="B66" s="6"/>
      <c r="C66" s="6"/>
      <c r="D66" s="6"/>
      <c r="E66" s="6"/>
      <c r="F66" s="53">
        <v>21000</v>
      </c>
      <c r="G66" s="54">
        <f>20372+21000</f>
        <v>41372</v>
      </c>
      <c r="H66" s="53">
        <v>21000</v>
      </c>
      <c r="I66" s="53">
        <v>21000</v>
      </c>
      <c r="J66" s="53">
        <v>21000</v>
      </c>
      <c r="K66" s="53">
        <v>21000</v>
      </c>
    </row>
    <row r="67" spans="1:11" s="43" customFormat="1" ht="18.75" x14ac:dyDescent="0.3">
      <c r="A67" s="6" t="s">
        <v>38</v>
      </c>
      <c r="B67" s="6"/>
      <c r="C67" s="6"/>
      <c r="D67" s="6"/>
      <c r="E67" s="6"/>
      <c r="F67" s="53">
        <v>12000</v>
      </c>
      <c r="G67" s="54">
        <v>12000</v>
      </c>
      <c r="H67" s="53"/>
      <c r="I67" s="53">
        <v>25500</v>
      </c>
      <c r="J67" s="53">
        <v>13500</v>
      </c>
      <c r="K67" s="53">
        <v>13500</v>
      </c>
    </row>
    <row r="68" spans="1:11" s="43" customFormat="1" ht="18.75" x14ac:dyDescent="0.3">
      <c r="A68" s="6" t="s">
        <v>34</v>
      </c>
      <c r="B68" s="6"/>
      <c r="C68" s="6"/>
      <c r="D68" s="6"/>
      <c r="E68" s="6"/>
      <c r="F68" s="53"/>
      <c r="G68" s="54"/>
      <c r="H68" s="53"/>
      <c r="I68" s="53"/>
      <c r="J68" s="53"/>
      <c r="K68" s="53"/>
    </row>
    <row r="69" spans="1:11" s="43" customFormat="1" ht="18.75" x14ac:dyDescent="0.3">
      <c r="A69" s="6" t="s">
        <v>199</v>
      </c>
      <c r="B69" s="6"/>
      <c r="C69" s="6"/>
      <c r="D69" s="6"/>
      <c r="E69" s="6"/>
      <c r="F69" s="53"/>
      <c r="G69" s="54"/>
      <c r="H69" s="53">
        <v>36600</v>
      </c>
      <c r="I69" s="53">
        <v>36600</v>
      </c>
      <c r="J69" s="53"/>
      <c r="K69" s="53"/>
    </row>
    <row r="70" spans="1:11" s="43" customFormat="1" ht="18.75" x14ac:dyDescent="0.3">
      <c r="A70" s="6" t="s">
        <v>37</v>
      </c>
      <c r="B70" s="6"/>
      <c r="C70" s="6"/>
      <c r="D70" s="6"/>
      <c r="E70" s="6"/>
      <c r="F70" s="53"/>
      <c r="G70" s="54"/>
      <c r="H70" s="53"/>
      <c r="I70" s="53"/>
      <c r="J70" s="53"/>
      <c r="K70" s="53"/>
    </row>
    <row r="71" spans="1:11" s="43" customFormat="1" ht="18.75" x14ac:dyDescent="0.3">
      <c r="A71" s="61" t="s">
        <v>200</v>
      </c>
      <c r="B71" s="62"/>
      <c r="C71" s="62"/>
      <c r="D71" s="62"/>
      <c r="E71" s="62"/>
      <c r="F71" s="53"/>
      <c r="G71" s="54"/>
      <c r="H71" s="53"/>
      <c r="I71" s="53"/>
      <c r="J71" s="53"/>
      <c r="K71" s="53"/>
    </row>
    <row r="72" spans="1:11" s="43" customFormat="1" ht="18.75" x14ac:dyDescent="0.3">
      <c r="A72" s="6" t="s">
        <v>193</v>
      </c>
      <c r="B72" s="6"/>
      <c r="C72" s="6"/>
      <c r="D72" s="6"/>
      <c r="E72" s="6"/>
      <c r="F72" s="53"/>
      <c r="G72" s="54"/>
      <c r="H72" s="53"/>
      <c r="I72" s="53">
        <f>7772</f>
        <v>7772</v>
      </c>
      <c r="J72" s="53"/>
      <c r="K72" s="53">
        <v>17600</v>
      </c>
    </row>
    <row r="73" spans="1:11" s="43" customFormat="1" ht="18.75" x14ac:dyDescent="0.3">
      <c r="A73" s="6" t="s">
        <v>293</v>
      </c>
      <c r="B73" s="6"/>
      <c r="C73" s="6"/>
      <c r="D73" s="6"/>
      <c r="E73" s="6"/>
      <c r="F73" s="53">
        <v>21000</v>
      </c>
      <c r="G73" s="54">
        <f>4500+21200</f>
        <v>25700</v>
      </c>
      <c r="H73" s="53">
        <v>42500</v>
      </c>
      <c r="I73" s="53">
        <v>30400</v>
      </c>
      <c r="J73" s="53">
        <v>26300</v>
      </c>
      <c r="K73" s="53">
        <f>14600+4500</f>
        <v>19100</v>
      </c>
    </row>
    <row r="74" spans="1:11" s="43" customFormat="1" ht="18.75" x14ac:dyDescent="0.3">
      <c r="A74" s="6" t="s">
        <v>275</v>
      </c>
      <c r="B74" s="6"/>
      <c r="C74" s="6"/>
      <c r="D74" s="6"/>
      <c r="E74" s="6"/>
      <c r="F74" s="53">
        <f>11602.62+30883.28+8798.2</f>
        <v>51284.100000000006</v>
      </c>
      <c r="G74" s="54">
        <f>5724.59+1204.92+752.46+6600+14500</f>
        <v>28781.97</v>
      </c>
      <c r="H74" s="53"/>
      <c r="I74" s="53">
        <f>1057.38</f>
        <v>1057.3800000000001</v>
      </c>
      <c r="J74" s="53">
        <f>2022.79</f>
        <v>2022.79</v>
      </c>
      <c r="K74" s="53"/>
    </row>
    <row r="75" spans="1:11" s="43" customFormat="1" ht="18.75" x14ac:dyDescent="0.3">
      <c r="A75" s="6" t="s">
        <v>41</v>
      </c>
      <c r="B75" s="6"/>
      <c r="C75" s="6"/>
      <c r="D75" s="6"/>
      <c r="E75" s="6"/>
      <c r="F75" s="68">
        <f>87452</f>
        <v>87452</v>
      </c>
      <c r="G75" s="60">
        <v>21398</v>
      </c>
      <c r="H75" s="53"/>
      <c r="I75" s="53">
        <f>34936+710</f>
        <v>35646</v>
      </c>
      <c r="J75" s="53">
        <f>62100+18872+4024.94</f>
        <v>84996.94</v>
      </c>
      <c r="K75" s="53">
        <f>68690+3416</f>
        <v>72106</v>
      </c>
    </row>
    <row r="76" spans="1:11" s="43" customFormat="1" ht="18.75" x14ac:dyDescent="0.3">
      <c r="A76" s="6" t="s">
        <v>174</v>
      </c>
      <c r="B76" s="6"/>
      <c r="C76" s="6"/>
      <c r="D76" s="6"/>
      <c r="E76" s="6"/>
      <c r="F76" s="53"/>
      <c r="G76" s="54">
        <f>22420</f>
        <v>22420</v>
      </c>
      <c r="H76" s="53"/>
      <c r="I76" s="53"/>
      <c r="J76" s="53"/>
      <c r="K76" s="53">
        <f>12000+15000+12000+10000</f>
        <v>49000</v>
      </c>
    </row>
    <row r="77" spans="1:11" s="43" customFormat="1" ht="18.75" x14ac:dyDescent="0.3">
      <c r="A77" s="6" t="s">
        <v>42</v>
      </c>
      <c r="B77" s="6"/>
      <c r="C77" s="6"/>
      <c r="D77" s="6"/>
      <c r="E77" s="6"/>
      <c r="F77" s="53"/>
      <c r="G77" s="54"/>
      <c r="H77" s="53"/>
      <c r="I77" s="53"/>
      <c r="J77" s="53"/>
      <c r="K77" s="53"/>
    </row>
    <row r="78" spans="1:11" s="43" customFormat="1" ht="18.75" x14ac:dyDescent="0.3">
      <c r="A78" s="6" t="s">
        <v>43</v>
      </c>
      <c r="B78" s="6"/>
      <c r="C78" s="6"/>
      <c r="D78" s="6"/>
      <c r="E78" s="6"/>
      <c r="F78" s="53">
        <v>12000</v>
      </c>
      <c r="G78" s="54"/>
      <c r="H78" s="53"/>
      <c r="I78" s="53"/>
      <c r="J78" s="53"/>
      <c r="K78" s="53"/>
    </row>
    <row r="79" spans="1:11" s="43" customFormat="1" ht="18.75" x14ac:dyDescent="0.3">
      <c r="A79" s="6" t="s">
        <v>290</v>
      </c>
      <c r="B79" s="6"/>
      <c r="C79" s="6"/>
      <c r="D79" s="6"/>
      <c r="E79" s="6"/>
      <c r="F79" s="53"/>
      <c r="G79" s="54"/>
      <c r="H79" s="53"/>
      <c r="I79" s="53">
        <v>132304.9</v>
      </c>
      <c r="J79" s="53"/>
      <c r="K79" s="53"/>
    </row>
    <row r="80" spans="1:11" s="43" customFormat="1" ht="18.75" x14ac:dyDescent="0.3">
      <c r="A80" s="6" t="s">
        <v>46</v>
      </c>
      <c r="B80" s="6"/>
      <c r="C80" s="6"/>
      <c r="D80" s="6"/>
      <c r="E80" s="6"/>
      <c r="F80" s="53"/>
      <c r="G80" s="54"/>
      <c r="H80" s="53"/>
      <c r="I80" s="53"/>
      <c r="J80" s="53"/>
      <c r="K80" s="53"/>
    </row>
    <row r="81" spans="1:11" s="43" customFormat="1" ht="18.75" x14ac:dyDescent="0.3">
      <c r="A81" s="6" t="s">
        <v>244</v>
      </c>
      <c r="B81" s="6"/>
      <c r="C81" s="6"/>
      <c r="D81" s="6"/>
      <c r="E81" s="6"/>
      <c r="F81" s="53"/>
      <c r="G81" s="54"/>
      <c r="H81" s="53"/>
      <c r="I81" s="53"/>
      <c r="J81" s="53"/>
      <c r="K81" s="53"/>
    </row>
    <row r="82" spans="1:11" s="43" customFormat="1" ht="18.75" x14ac:dyDescent="0.3">
      <c r="A82" s="6" t="s">
        <v>294</v>
      </c>
      <c r="B82" s="6"/>
      <c r="C82" s="6"/>
      <c r="D82" s="6"/>
      <c r="E82" s="6"/>
      <c r="F82" s="53">
        <v>18560</v>
      </c>
      <c r="G82" s="54">
        <v>4891</v>
      </c>
      <c r="H82" s="53"/>
      <c r="I82" s="53">
        <v>91476</v>
      </c>
      <c r="J82" s="53">
        <v>24141</v>
      </c>
      <c r="K82" s="53">
        <v>20328</v>
      </c>
    </row>
    <row r="83" spans="1:11" s="43" customFormat="1" ht="18.75" x14ac:dyDescent="0.3">
      <c r="A83" s="6" t="s">
        <v>49</v>
      </c>
      <c r="B83" s="6"/>
      <c r="C83" s="6"/>
      <c r="D83" s="6"/>
      <c r="E83" s="6"/>
      <c r="F83" s="53"/>
      <c r="G83" s="54">
        <v>213892</v>
      </c>
      <c r="H83" s="53"/>
      <c r="I83" s="53"/>
      <c r="J83" s="53"/>
      <c r="K83" s="53"/>
    </row>
    <row r="84" spans="1:11" s="43" customFormat="1" ht="18.75" x14ac:dyDescent="0.3">
      <c r="A84" s="6" t="s">
        <v>236</v>
      </c>
      <c r="B84" s="6"/>
      <c r="C84" s="6"/>
      <c r="D84" s="6"/>
      <c r="E84" s="6"/>
      <c r="F84" s="53"/>
      <c r="G84" s="54"/>
      <c r="H84" s="53"/>
      <c r="I84" s="53"/>
      <c r="J84" s="53"/>
      <c r="K84" s="53"/>
    </row>
    <row r="85" spans="1:11" s="43" customFormat="1" ht="18.75" x14ac:dyDescent="0.3">
      <c r="A85" s="6" t="s">
        <v>249</v>
      </c>
      <c r="B85" s="6"/>
      <c r="C85" s="6"/>
      <c r="D85" s="6"/>
      <c r="E85" s="6"/>
      <c r="F85" s="53">
        <f>46806+17500+1515+1906.97+1000+875.41+2286</f>
        <v>71889.38</v>
      </c>
      <c r="G85" s="54">
        <f>56040+1241.07+36000+39331</f>
        <v>132612.07</v>
      </c>
      <c r="H85" s="53">
        <f>2271+2927+1985.65+6477.05+22541.66</f>
        <v>36202.36</v>
      </c>
      <c r="I85" s="53">
        <f>3560+2136+2136+2728+77625+1265*4</f>
        <v>93245</v>
      </c>
      <c r="J85" s="53">
        <f>8330</f>
        <v>8330</v>
      </c>
      <c r="K85" s="53">
        <f>2213+1300+65000</f>
        <v>68513</v>
      </c>
    </row>
    <row r="86" spans="1:11" s="43" customFormat="1" ht="18.75" x14ac:dyDescent="0.3">
      <c r="A86" s="6" t="s">
        <v>187</v>
      </c>
      <c r="B86" s="6"/>
      <c r="C86" s="6"/>
      <c r="D86" s="6"/>
      <c r="E86" s="6"/>
      <c r="F86" s="53">
        <v>103400</v>
      </c>
      <c r="G86" s="54">
        <v>51700</v>
      </c>
      <c r="H86" s="53"/>
      <c r="I86" s="53"/>
      <c r="J86" s="53"/>
      <c r="K86" s="53"/>
    </row>
    <row r="87" spans="1:11" s="43" customFormat="1" ht="18.75" x14ac:dyDescent="0.3">
      <c r="A87" s="6" t="s">
        <v>243</v>
      </c>
      <c r="B87" s="6"/>
      <c r="C87" s="6"/>
      <c r="D87" s="6"/>
      <c r="E87" s="6"/>
      <c r="F87" s="53">
        <v>13957</v>
      </c>
      <c r="G87" s="54">
        <v>14640</v>
      </c>
      <c r="H87" s="53">
        <v>14547</v>
      </c>
      <c r="I87" s="53">
        <v>14547</v>
      </c>
      <c r="J87" s="53">
        <v>14547</v>
      </c>
      <c r="K87" s="53">
        <v>14547</v>
      </c>
    </row>
    <row r="88" spans="1:11" s="43" customFormat="1" ht="18.75" x14ac:dyDescent="0.3">
      <c r="A88" s="6" t="s">
        <v>262</v>
      </c>
      <c r="B88" s="6"/>
      <c r="C88" s="6"/>
      <c r="D88" s="6"/>
      <c r="E88" s="6"/>
      <c r="F88" s="53">
        <f>54800</f>
        <v>54800</v>
      </c>
      <c r="G88" s="54"/>
      <c r="H88" s="53"/>
      <c r="I88" s="53"/>
      <c r="J88" s="53"/>
      <c r="K88" s="53">
        <f>78317.14</f>
        <v>78317.14</v>
      </c>
    </row>
    <row r="89" spans="1:11" s="43" customFormat="1" ht="19.5" thickBot="1" x14ac:dyDescent="0.35">
      <c r="A89" s="6" t="s">
        <v>51</v>
      </c>
      <c r="B89" s="6"/>
      <c r="C89" s="6"/>
      <c r="D89" s="6"/>
      <c r="E89" s="6"/>
      <c r="F89" s="53"/>
      <c r="H89" s="53"/>
      <c r="I89" s="53"/>
      <c r="J89" s="53"/>
      <c r="K89" s="53"/>
    </row>
    <row r="90" spans="1:11" s="43" customFormat="1" ht="16.5" thickBot="1" x14ac:dyDescent="0.3">
      <c r="A90" s="52" t="s">
        <v>4</v>
      </c>
      <c r="B90" s="63"/>
      <c r="C90" s="64"/>
      <c r="D90" s="64"/>
      <c r="E90" s="65"/>
      <c r="F90" s="66">
        <f>SUM(F7:F89)</f>
        <v>2758491.2500000005</v>
      </c>
      <c r="G90" s="66">
        <f>SUM(G7:G88)</f>
        <v>2567240.27</v>
      </c>
      <c r="H90" s="66">
        <f>SUM(H7:H89)</f>
        <v>2035130.1300000001</v>
      </c>
      <c r="I90" s="66">
        <f>SUM(I7:I89)</f>
        <v>2504637.1299999994</v>
      </c>
      <c r="J90" s="66">
        <f>SUM(J7:J89)</f>
        <v>2069798.02</v>
      </c>
      <c r="K90" s="66">
        <f>SUM(K7:K89)</f>
        <v>2277449.4</v>
      </c>
    </row>
    <row r="91" spans="1:11" s="43" customFormat="1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1:11" s="43" customFormat="1" ht="19.5" x14ac:dyDescent="0.35">
      <c r="A92" s="50" t="s">
        <v>9</v>
      </c>
      <c r="B92" s="51"/>
      <c r="C92" s="51"/>
      <c r="D92" s="51"/>
      <c r="E92" s="51"/>
      <c r="F92" s="52" t="s">
        <v>20</v>
      </c>
      <c r="G92" s="10" t="s">
        <v>21</v>
      </c>
      <c r="H92" s="10" t="s">
        <v>22</v>
      </c>
      <c r="I92" s="10" t="s">
        <v>1</v>
      </c>
      <c r="J92" s="10" t="s">
        <v>2</v>
      </c>
      <c r="K92" s="10" t="s">
        <v>0</v>
      </c>
    </row>
    <row r="93" spans="1:11" s="43" customFormat="1" ht="18.75" x14ac:dyDescent="0.3">
      <c r="A93" s="6" t="s">
        <v>215</v>
      </c>
      <c r="B93" s="6"/>
      <c r="C93" s="6"/>
      <c r="D93" s="6"/>
      <c r="E93" s="6"/>
      <c r="F93" s="53">
        <v>72806</v>
      </c>
      <c r="G93" s="53">
        <v>72806</v>
      </c>
      <c r="H93" s="68"/>
      <c r="I93" s="53"/>
      <c r="J93" s="53"/>
      <c r="K93" s="53"/>
    </row>
    <row r="94" spans="1:11" s="43" customFormat="1" ht="18.75" x14ac:dyDescent="0.3">
      <c r="A94" s="6" t="s">
        <v>216</v>
      </c>
      <c r="B94" s="6"/>
      <c r="C94" s="6"/>
      <c r="D94" s="6"/>
      <c r="E94" s="6"/>
      <c r="F94" s="53">
        <v>40657</v>
      </c>
      <c r="G94" s="53"/>
      <c r="H94" s="53"/>
      <c r="I94" s="53"/>
      <c r="J94" s="53"/>
      <c r="K94" s="53"/>
    </row>
    <row r="95" spans="1:11" s="43" customFormat="1" ht="18.75" x14ac:dyDescent="0.3">
      <c r="A95" s="56" t="s">
        <v>259</v>
      </c>
      <c r="B95" s="6"/>
      <c r="C95" s="6"/>
      <c r="D95" s="6"/>
      <c r="E95" s="6"/>
      <c r="F95" s="53"/>
      <c r="G95" s="53">
        <v>160023</v>
      </c>
      <c r="H95" s="53"/>
      <c r="I95" s="53"/>
      <c r="J95" s="53"/>
      <c r="K95" s="53"/>
    </row>
    <row r="96" spans="1:11" s="43" customFormat="1" ht="18.75" x14ac:dyDescent="0.3">
      <c r="A96" s="6" t="s">
        <v>185</v>
      </c>
      <c r="B96" s="6"/>
      <c r="C96" s="6"/>
      <c r="D96" s="6"/>
      <c r="E96" s="6"/>
      <c r="F96" s="53">
        <v>37120</v>
      </c>
      <c r="G96" s="53">
        <v>35545</v>
      </c>
      <c r="H96" s="53">
        <f>36333+320</f>
        <v>36653</v>
      </c>
      <c r="I96" s="53">
        <v>36653</v>
      </c>
      <c r="J96" s="53">
        <v>35861</v>
      </c>
      <c r="K96" s="53">
        <v>30549</v>
      </c>
    </row>
    <row r="97" spans="1:11" s="43" customFormat="1" ht="18.75" x14ac:dyDescent="0.3">
      <c r="A97" s="6" t="s">
        <v>235</v>
      </c>
      <c r="B97" s="6"/>
      <c r="C97" s="6"/>
      <c r="D97" s="6"/>
      <c r="E97" s="6"/>
      <c r="F97" s="53">
        <f>12223+6324</f>
        <v>18547</v>
      </c>
      <c r="G97" s="53">
        <v>11778</v>
      </c>
      <c r="H97" s="53">
        <v>12099</v>
      </c>
      <c r="I97" s="54">
        <v>12099</v>
      </c>
      <c r="J97" s="53">
        <f>11876+3121</f>
        <v>14997</v>
      </c>
      <c r="K97" s="53">
        <v>10378</v>
      </c>
    </row>
    <row r="98" spans="1:11" s="43" customFormat="1" ht="18.75" x14ac:dyDescent="0.3">
      <c r="A98" s="6" t="s">
        <v>184</v>
      </c>
      <c r="B98" s="6"/>
      <c r="C98" s="6"/>
      <c r="D98" s="6"/>
      <c r="E98" s="6"/>
      <c r="F98" s="53">
        <v>22423</v>
      </c>
      <c r="G98" s="53"/>
      <c r="H98" s="53"/>
      <c r="I98" s="53"/>
      <c r="J98" s="53"/>
      <c r="K98" s="53"/>
    </row>
    <row r="99" spans="1:11" s="43" customFormat="1" ht="18.75" x14ac:dyDescent="0.3">
      <c r="A99" s="56" t="s">
        <v>211</v>
      </c>
      <c r="B99" s="6"/>
      <c r="C99" s="6"/>
      <c r="D99" s="6"/>
      <c r="E99" s="6"/>
      <c r="F99" s="53"/>
      <c r="G99" s="53"/>
      <c r="H99" s="53"/>
      <c r="I99" s="53"/>
      <c r="J99" s="53">
        <f>11066+22133</f>
        <v>33199</v>
      </c>
      <c r="K99" s="53"/>
    </row>
    <row r="100" spans="1:11" s="43" customFormat="1" ht="18.75" x14ac:dyDescent="0.3">
      <c r="A100" s="6" t="s">
        <v>207</v>
      </c>
      <c r="B100" s="6"/>
      <c r="C100" s="6"/>
      <c r="D100" s="6"/>
      <c r="E100" s="6"/>
      <c r="F100" s="53">
        <v>44838</v>
      </c>
      <c r="G100" s="53">
        <v>44838</v>
      </c>
      <c r="H100" s="53">
        <f>39605+182</f>
        <v>39787</v>
      </c>
      <c r="I100" s="53">
        <v>45037</v>
      </c>
      <c r="J100" s="53">
        <v>45037</v>
      </c>
      <c r="K100" s="53">
        <v>45037</v>
      </c>
    </row>
    <row r="101" spans="1:11" s="43" customFormat="1" ht="18.75" x14ac:dyDescent="0.3">
      <c r="A101" s="6" t="s">
        <v>208</v>
      </c>
      <c r="B101" s="6"/>
      <c r="C101" s="6"/>
      <c r="D101" s="6"/>
      <c r="E101" s="6"/>
      <c r="F101" s="53">
        <v>22529</v>
      </c>
      <c r="G101" s="53"/>
      <c r="H101" s="53"/>
      <c r="I101" s="53"/>
      <c r="J101" s="53"/>
      <c r="K101" s="53"/>
    </row>
    <row r="102" spans="1:11" s="43" customFormat="1" ht="18.75" x14ac:dyDescent="0.3">
      <c r="A102" s="56" t="s">
        <v>211</v>
      </c>
      <c r="B102" s="56"/>
      <c r="C102" s="6"/>
      <c r="D102" s="6"/>
      <c r="E102" s="6"/>
      <c r="F102" s="53"/>
      <c r="G102" s="53">
        <v>32760</v>
      </c>
      <c r="H102" s="53"/>
      <c r="I102" s="53"/>
      <c r="J102" s="53"/>
      <c r="K102" s="53"/>
    </row>
    <row r="103" spans="1:11" s="43" customFormat="1" ht="18.75" x14ac:dyDescent="0.3">
      <c r="A103" s="6" t="s">
        <v>256</v>
      </c>
      <c r="B103" s="6"/>
      <c r="C103" s="6"/>
      <c r="D103" s="6"/>
      <c r="E103" s="6"/>
      <c r="F103" s="53">
        <v>39655</v>
      </c>
      <c r="G103" s="53">
        <v>43105</v>
      </c>
      <c r="H103" s="53">
        <f>43105+213</f>
        <v>43318</v>
      </c>
      <c r="I103" s="53">
        <v>43318</v>
      </c>
      <c r="J103" s="53">
        <v>43318</v>
      </c>
      <c r="K103" s="53">
        <v>43318</v>
      </c>
    </row>
    <row r="104" spans="1:11" s="43" customFormat="1" ht="18.75" x14ac:dyDescent="0.3">
      <c r="A104" s="6" t="s">
        <v>251</v>
      </c>
      <c r="B104" s="6"/>
      <c r="C104" s="6"/>
      <c r="D104" s="6"/>
      <c r="E104" s="6"/>
      <c r="F104" s="53">
        <v>21639</v>
      </c>
      <c r="G104" s="53"/>
      <c r="H104" s="53"/>
      <c r="I104" s="53"/>
      <c r="J104" s="53"/>
      <c r="K104" s="53"/>
    </row>
    <row r="105" spans="1:11" s="43" customFormat="1" ht="18.75" x14ac:dyDescent="0.3">
      <c r="A105" s="56" t="s">
        <v>211</v>
      </c>
      <c r="B105" s="56"/>
      <c r="C105" s="56"/>
      <c r="D105" s="56"/>
      <c r="E105" s="56"/>
      <c r="F105" s="53"/>
      <c r="G105" s="53"/>
      <c r="H105" s="53"/>
      <c r="I105" s="53"/>
      <c r="J105" s="53"/>
      <c r="K105" s="53"/>
    </row>
    <row r="106" spans="1:11" s="43" customFormat="1" ht="18.75" x14ac:dyDescent="0.3">
      <c r="A106" s="6" t="s">
        <v>231</v>
      </c>
      <c r="B106" s="6"/>
      <c r="C106" s="6"/>
      <c r="D106" s="6"/>
      <c r="E106" s="6"/>
      <c r="F106" s="53">
        <f>39595+2262</f>
        <v>41857</v>
      </c>
      <c r="G106" s="53">
        <v>32358</v>
      </c>
      <c r="H106" s="53">
        <f>39595+1001</f>
        <v>40596</v>
      </c>
      <c r="I106" s="53">
        <v>36726</v>
      </c>
      <c r="J106" s="53">
        <v>33607</v>
      </c>
      <c r="K106" s="53">
        <v>34744</v>
      </c>
    </row>
    <row r="107" spans="1:11" s="43" customFormat="1" ht="18.75" x14ac:dyDescent="0.3">
      <c r="A107" s="6" t="s">
        <v>232</v>
      </c>
      <c r="B107" s="6"/>
      <c r="C107" s="6"/>
      <c r="D107" s="6"/>
      <c r="E107" s="6"/>
      <c r="F107" s="53">
        <v>19386</v>
      </c>
      <c r="G107" s="53"/>
      <c r="H107" s="53"/>
      <c r="I107" s="53"/>
      <c r="J107" s="53"/>
      <c r="K107" s="53"/>
    </row>
    <row r="108" spans="1:11" s="43" customFormat="1" ht="18.75" x14ac:dyDescent="0.3">
      <c r="A108" s="6" t="s">
        <v>315</v>
      </c>
      <c r="B108" s="6"/>
      <c r="C108" s="6"/>
      <c r="D108" s="6"/>
      <c r="E108" s="6"/>
      <c r="F108" s="53"/>
      <c r="G108" s="53"/>
      <c r="H108" s="53">
        <f>21547+5164</f>
        <v>26711</v>
      </c>
      <c r="I108" s="53"/>
      <c r="J108" s="53"/>
      <c r="K108" s="53">
        <f>284400+65473+15422</f>
        <v>365295</v>
      </c>
    </row>
    <row r="109" spans="1:11" s="43" customFormat="1" ht="18.75" x14ac:dyDescent="0.3">
      <c r="A109" s="6" t="s">
        <v>230</v>
      </c>
      <c r="B109" s="6"/>
      <c r="C109" s="6"/>
      <c r="D109" s="6"/>
      <c r="E109" s="6"/>
      <c r="F109" s="53">
        <v>81136</v>
      </c>
      <c r="G109" s="53">
        <v>81136</v>
      </c>
      <c r="H109" s="53">
        <f>81136+318</f>
        <v>81454</v>
      </c>
      <c r="I109" s="53">
        <v>74007</v>
      </c>
      <c r="J109" s="53">
        <v>81454</v>
      </c>
      <c r="K109" s="53">
        <v>73262</v>
      </c>
    </row>
    <row r="110" spans="1:11" s="43" customFormat="1" ht="18.75" x14ac:dyDescent="0.3">
      <c r="A110" s="6" t="s">
        <v>221</v>
      </c>
      <c r="B110" s="6"/>
      <c r="C110" s="6"/>
      <c r="D110" s="6"/>
      <c r="E110" s="6"/>
      <c r="F110" s="53">
        <v>38302</v>
      </c>
      <c r="G110" s="53"/>
      <c r="H110" s="53"/>
      <c r="I110" s="53"/>
      <c r="J110" s="53"/>
      <c r="K110" s="53"/>
    </row>
    <row r="111" spans="1:11" s="43" customFormat="1" ht="18.75" x14ac:dyDescent="0.3">
      <c r="A111" s="56" t="s">
        <v>211</v>
      </c>
      <c r="B111" s="6"/>
      <c r="C111" s="6"/>
      <c r="D111" s="6"/>
      <c r="E111" s="6"/>
      <c r="F111" s="53"/>
      <c r="G111" s="53"/>
      <c r="H111" s="53"/>
      <c r="I111" s="53">
        <v>31030</v>
      </c>
      <c r="J111" s="53">
        <v>34133</v>
      </c>
      <c r="K111" s="53"/>
    </row>
    <row r="112" spans="1:11" s="43" customFormat="1" ht="18.75" x14ac:dyDescent="0.3">
      <c r="A112" s="56" t="s">
        <v>307</v>
      </c>
      <c r="B112" s="6"/>
      <c r="C112" s="6"/>
      <c r="D112" s="6"/>
      <c r="E112" s="6"/>
      <c r="F112" s="53"/>
      <c r="G112" s="53"/>
      <c r="H112" s="53">
        <f>39135+193</f>
        <v>39328</v>
      </c>
      <c r="I112" s="53">
        <v>54014</v>
      </c>
      <c r="J112" s="53">
        <v>54014</v>
      </c>
      <c r="K112" s="53">
        <v>54014</v>
      </c>
    </row>
    <row r="113" spans="1:11" s="43" customFormat="1" ht="18.75" x14ac:dyDescent="0.3">
      <c r="A113" s="56" t="s">
        <v>311</v>
      </c>
      <c r="B113" s="6"/>
      <c r="C113" s="6"/>
      <c r="D113" s="6"/>
      <c r="E113" s="6"/>
      <c r="F113" s="53"/>
      <c r="G113" s="53"/>
      <c r="H113" s="53"/>
      <c r="I113" s="53"/>
      <c r="J113" s="53"/>
      <c r="K113" s="53"/>
    </row>
    <row r="114" spans="1:11" s="43" customFormat="1" ht="18.75" x14ac:dyDescent="0.3">
      <c r="A114" s="56" t="s">
        <v>308</v>
      </c>
      <c r="B114" s="6"/>
      <c r="C114" s="6"/>
      <c r="D114" s="6"/>
      <c r="E114" s="6"/>
      <c r="F114" s="53"/>
      <c r="G114" s="53"/>
      <c r="H114" s="53"/>
      <c r="I114" s="53"/>
      <c r="J114" s="53"/>
      <c r="K114" s="53"/>
    </row>
    <row r="115" spans="1:11" s="43" customFormat="1" ht="18.75" x14ac:dyDescent="0.3">
      <c r="A115" s="56" t="s">
        <v>309</v>
      </c>
      <c r="B115" s="6"/>
      <c r="C115" s="6"/>
      <c r="D115" s="6"/>
      <c r="E115" s="6"/>
      <c r="F115" s="53"/>
      <c r="G115" s="53"/>
      <c r="H115" s="53">
        <f>21333+112</f>
        <v>21445</v>
      </c>
      <c r="I115" s="53">
        <v>40210</v>
      </c>
      <c r="J115" s="53">
        <v>40210</v>
      </c>
      <c r="K115" s="53"/>
    </row>
    <row r="116" spans="1:11" s="43" customFormat="1" ht="18.75" x14ac:dyDescent="0.3">
      <c r="A116" s="56" t="s">
        <v>310</v>
      </c>
      <c r="B116" s="6"/>
      <c r="C116" s="6"/>
      <c r="D116" s="6"/>
      <c r="E116" s="6"/>
      <c r="F116" s="53"/>
      <c r="G116" s="53"/>
      <c r="H116" s="53"/>
      <c r="I116" s="53"/>
      <c r="J116" s="53"/>
      <c r="K116" s="53"/>
    </row>
    <row r="117" spans="1:11" s="43" customFormat="1" ht="18.75" x14ac:dyDescent="0.3">
      <c r="A117" s="56" t="s">
        <v>259</v>
      </c>
      <c r="B117" s="6"/>
      <c r="C117" s="6"/>
      <c r="D117" s="6"/>
      <c r="E117" s="6"/>
      <c r="F117" s="53"/>
      <c r="G117" s="53"/>
      <c r="H117" s="53"/>
      <c r="I117" s="53"/>
      <c r="J117" s="53">
        <f>16084+25169</f>
        <v>41253</v>
      </c>
      <c r="K117" s="53"/>
    </row>
    <row r="118" spans="1:11" s="43" customFormat="1" ht="18.75" x14ac:dyDescent="0.3">
      <c r="A118" s="6" t="s">
        <v>24</v>
      </c>
      <c r="B118" s="6"/>
      <c r="C118" s="6"/>
      <c r="D118" s="6"/>
      <c r="E118" s="6"/>
      <c r="F118" s="53">
        <v>44268</v>
      </c>
      <c r="G118" s="53">
        <v>47897</v>
      </c>
      <c r="H118" s="53">
        <f>49023+252</f>
        <v>49275</v>
      </c>
      <c r="I118" s="53">
        <v>51642</v>
      </c>
      <c r="J118" s="53">
        <v>48143</v>
      </c>
      <c r="K118" s="53">
        <v>48143</v>
      </c>
    </row>
    <row r="119" spans="1:11" s="43" customFormat="1" ht="18.75" x14ac:dyDescent="0.3">
      <c r="A119" s="6" t="s">
        <v>23</v>
      </c>
      <c r="B119" s="6"/>
      <c r="C119" s="6"/>
      <c r="D119" s="6"/>
      <c r="E119" s="6"/>
      <c r="F119" s="53">
        <v>23198</v>
      </c>
      <c r="G119" s="53"/>
      <c r="H119" s="53"/>
      <c r="I119" s="53"/>
      <c r="J119" s="53"/>
      <c r="K119" s="53"/>
    </row>
    <row r="120" spans="1:11" s="43" customFormat="1" ht="18.75" x14ac:dyDescent="0.3">
      <c r="A120" s="56" t="s">
        <v>211</v>
      </c>
      <c r="B120" s="56"/>
      <c r="C120" s="56"/>
      <c r="D120" s="56"/>
      <c r="E120" s="56"/>
      <c r="F120" s="53"/>
      <c r="G120" s="53"/>
      <c r="H120" s="53"/>
      <c r="I120" s="53"/>
      <c r="J120" s="53"/>
      <c r="K120" s="53"/>
    </row>
    <row r="121" spans="1:11" s="43" customFormat="1" ht="18.75" x14ac:dyDescent="0.3">
      <c r="A121" s="6" t="s">
        <v>218</v>
      </c>
      <c r="B121" s="6"/>
      <c r="C121" s="6"/>
      <c r="D121" s="6"/>
      <c r="E121" s="6"/>
      <c r="F121" s="53">
        <v>48535</v>
      </c>
      <c r="G121" s="53">
        <v>47563</v>
      </c>
      <c r="H121" s="53">
        <f>48535+209</f>
        <v>48744</v>
      </c>
      <c r="I121" s="53">
        <v>40803</v>
      </c>
      <c r="J121" s="53">
        <v>47287</v>
      </c>
      <c r="K121" s="53">
        <v>47766</v>
      </c>
    </row>
    <row r="122" spans="1:11" s="43" customFormat="1" ht="18.75" x14ac:dyDescent="0.3">
      <c r="A122" s="6" t="s">
        <v>219</v>
      </c>
      <c r="B122" s="6"/>
      <c r="C122" s="6"/>
      <c r="D122" s="6"/>
      <c r="E122" s="6"/>
      <c r="F122" s="53">
        <v>24038</v>
      </c>
      <c r="G122" s="53"/>
      <c r="H122" s="53"/>
      <c r="I122" s="53"/>
      <c r="J122" s="53"/>
      <c r="K122" s="53"/>
    </row>
    <row r="123" spans="1:11" s="43" customFormat="1" ht="18.75" x14ac:dyDescent="0.3">
      <c r="A123" s="56" t="s">
        <v>211</v>
      </c>
      <c r="B123" s="6"/>
      <c r="C123" s="6"/>
      <c r="D123" s="6"/>
      <c r="E123" s="6"/>
      <c r="F123" s="53"/>
      <c r="G123" s="53"/>
      <c r="H123" s="53">
        <f>37608+3192</f>
        <v>40800</v>
      </c>
      <c r="I123" s="53"/>
      <c r="J123" s="53"/>
      <c r="K123" s="53"/>
    </row>
    <row r="124" spans="1:11" s="43" customFormat="1" ht="18.75" x14ac:dyDescent="0.3">
      <c r="A124" s="6" t="s">
        <v>190</v>
      </c>
      <c r="B124" s="6"/>
      <c r="C124" s="6"/>
      <c r="D124" s="6"/>
      <c r="E124" s="6"/>
      <c r="F124" s="53">
        <v>43180</v>
      </c>
      <c r="G124" s="53">
        <v>43180</v>
      </c>
      <c r="H124" s="53">
        <f>43180+217</f>
        <v>43397</v>
      </c>
      <c r="I124" s="53">
        <v>43397</v>
      </c>
      <c r="J124" s="53">
        <v>40503</v>
      </c>
      <c r="K124" s="53">
        <v>43397</v>
      </c>
    </row>
    <row r="125" spans="1:11" s="43" customFormat="1" ht="18.75" x14ac:dyDescent="0.3">
      <c r="A125" s="6" t="s">
        <v>191</v>
      </c>
      <c r="B125" s="6"/>
      <c r="C125" s="6"/>
      <c r="D125" s="6"/>
      <c r="E125" s="6"/>
      <c r="F125" s="53">
        <v>21549</v>
      </c>
      <c r="G125" s="53"/>
      <c r="H125" s="53"/>
      <c r="I125" s="53"/>
      <c r="J125" s="53"/>
      <c r="K125" s="53"/>
    </row>
    <row r="126" spans="1:11" s="43" customFormat="1" ht="18.75" x14ac:dyDescent="0.3">
      <c r="A126" s="56" t="s">
        <v>211</v>
      </c>
      <c r="B126" s="56"/>
      <c r="C126" s="56"/>
      <c r="D126" s="56"/>
      <c r="E126" s="56"/>
      <c r="F126" s="53"/>
      <c r="G126" s="53"/>
      <c r="H126" s="53"/>
      <c r="I126" s="53">
        <f>28411+4424</f>
        <v>32835</v>
      </c>
      <c r="J126" s="53"/>
      <c r="K126" s="53"/>
    </row>
    <row r="127" spans="1:11" s="43" customFormat="1" ht="18.75" x14ac:dyDescent="0.3">
      <c r="A127" s="6" t="s">
        <v>302</v>
      </c>
      <c r="B127" s="6"/>
      <c r="C127" s="56"/>
      <c r="D127" s="56"/>
      <c r="E127" s="56"/>
      <c r="F127" s="53">
        <v>32800</v>
      </c>
      <c r="G127" s="53">
        <v>36362</v>
      </c>
      <c r="H127" s="53">
        <f>36418+179</f>
        <v>36597</v>
      </c>
      <c r="I127" s="53">
        <v>37677</v>
      </c>
      <c r="J127" s="53">
        <v>36540</v>
      </c>
      <c r="K127" s="53">
        <v>36540</v>
      </c>
    </row>
    <row r="128" spans="1:11" s="43" customFormat="1" ht="18.75" x14ac:dyDescent="0.3">
      <c r="A128" s="6" t="s">
        <v>306</v>
      </c>
      <c r="B128" s="6"/>
      <c r="C128" s="56"/>
      <c r="D128" s="56"/>
      <c r="E128" s="56"/>
      <c r="F128" s="53">
        <v>17828</v>
      </c>
      <c r="G128" s="53"/>
      <c r="H128" s="53"/>
      <c r="I128" s="53"/>
      <c r="J128" s="53"/>
      <c r="K128" s="53"/>
    </row>
    <row r="129" spans="1:11" s="43" customFormat="1" ht="18.75" x14ac:dyDescent="0.3">
      <c r="A129" s="56" t="s">
        <v>211</v>
      </c>
      <c r="B129" s="56"/>
      <c r="C129" s="56"/>
      <c r="D129" s="56"/>
      <c r="E129" s="56"/>
      <c r="F129" s="53"/>
      <c r="G129" s="53"/>
      <c r="H129" s="53"/>
      <c r="I129" s="53"/>
      <c r="J129" s="53">
        <v>2463</v>
      </c>
      <c r="K129" s="53"/>
    </row>
    <row r="130" spans="1:11" s="43" customFormat="1" ht="18.75" x14ac:dyDescent="0.3">
      <c r="A130" s="56" t="s">
        <v>292</v>
      </c>
      <c r="B130" s="56"/>
      <c r="C130" s="56"/>
      <c r="D130" s="56"/>
      <c r="E130" s="56"/>
      <c r="F130" s="53">
        <v>38846</v>
      </c>
      <c r="G130" s="53">
        <v>38846</v>
      </c>
      <c r="H130" s="53">
        <f>36485+828</f>
        <v>37313</v>
      </c>
      <c r="I130" s="53">
        <v>40402</v>
      </c>
      <c r="J130" s="53">
        <v>39836</v>
      </c>
      <c r="K130" s="53">
        <v>39836</v>
      </c>
    </row>
    <row r="131" spans="1:11" s="43" customFormat="1" ht="18.75" x14ac:dyDescent="0.3">
      <c r="A131" s="6" t="s">
        <v>296</v>
      </c>
      <c r="B131" s="56"/>
      <c r="C131" s="56"/>
      <c r="D131" s="56"/>
      <c r="E131" s="56"/>
      <c r="F131" s="53">
        <v>19337</v>
      </c>
      <c r="G131" s="53"/>
      <c r="H131" s="53"/>
      <c r="I131" s="53"/>
      <c r="J131" s="53"/>
      <c r="K131" s="53"/>
    </row>
    <row r="132" spans="1:11" s="43" customFormat="1" ht="18.75" x14ac:dyDescent="0.3">
      <c r="A132" s="56" t="s">
        <v>211</v>
      </c>
      <c r="B132" s="56"/>
      <c r="C132" s="56"/>
      <c r="D132" s="56"/>
      <c r="E132" s="56"/>
      <c r="F132" s="53"/>
      <c r="G132" s="53">
        <v>25848</v>
      </c>
      <c r="H132" s="53"/>
      <c r="I132" s="53"/>
      <c r="J132" s="53"/>
      <c r="K132" s="53"/>
    </row>
    <row r="133" spans="1:11" s="43" customFormat="1" ht="18.75" x14ac:dyDescent="0.3">
      <c r="A133" s="56" t="s">
        <v>316</v>
      </c>
      <c r="B133" s="56"/>
      <c r="C133" s="56"/>
      <c r="D133" s="56"/>
      <c r="E133" s="56"/>
      <c r="F133" s="53"/>
      <c r="G133" s="53"/>
      <c r="H133" s="53"/>
      <c r="I133" s="53"/>
      <c r="J133" s="53"/>
      <c r="K133" s="53">
        <v>20000</v>
      </c>
    </row>
    <row r="134" spans="1:11" s="43" customFormat="1" ht="18.75" x14ac:dyDescent="0.3">
      <c r="A134" s="6" t="s">
        <v>25</v>
      </c>
      <c r="B134" s="6"/>
      <c r="C134" s="6"/>
      <c r="D134" s="6"/>
      <c r="E134" s="6"/>
      <c r="F134" s="53">
        <v>63879</v>
      </c>
      <c r="G134" s="53">
        <v>63879</v>
      </c>
      <c r="H134" s="53">
        <v>64792</v>
      </c>
      <c r="I134" s="53">
        <v>70504</v>
      </c>
      <c r="J134" s="53">
        <v>69964</v>
      </c>
      <c r="K134" s="53">
        <v>63609</v>
      </c>
    </row>
    <row r="135" spans="1:11" s="43" customFormat="1" ht="18.75" x14ac:dyDescent="0.3">
      <c r="A135" s="6" t="s">
        <v>27</v>
      </c>
      <c r="B135" s="6"/>
      <c r="C135" s="6"/>
      <c r="D135" s="6"/>
      <c r="E135" s="6"/>
      <c r="F135" s="53">
        <f>41689+239770+904</f>
        <v>282363</v>
      </c>
      <c r="G135" s="53">
        <f>81929+334714</f>
        <v>416643</v>
      </c>
      <c r="H135" s="53">
        <f>235175+32217</f>
        <v>267392</v>
      </c>
      <c r="I135" s="53">
        <f>43145+252927</f>
        <v>296072</v>
      </c>
      <c r="J135" s="53">
        <f>245946+27972</f>
        <v>273918</v>
      </c>
      <c r="K135" s="53">
        <f>248562+41137</f>
        <v>289699</v>
      </c>
    </row>
    <row r="136" spans="1:11" s="43" customFormat="1" ht="18.75" x14ac:dyDescent="0.3">
      <c r="A136" s="6" t="s">
        <v>26</v>
      </c>
      <c r="B136" s="6"/>
      <c r="C136" s="6"/>
      <c r="D136" s="6"/>
      <c r="E136" s="6"/>
      <c r="F136" s="53">
        <v>15785</v>
      </c>
      <c r="G136" s="53">
        <v>15911</v>
      </c>
      <c r="H136" s="53">
        <v>22849</v>
      </c>
      <c r="I136" s="53">
        <v>16186</v>
      </c>
      <c r="J136" s="53">
        <v>17288</v>
      </c>
      <c r="K136" s="53">
        <v>16957</v>
      </c>
    </row>
    <row r="137" spans="1:11" s="43" customFormat="1" ht="18.75" x14ac:dyDescent="0.3">
      <c r="A137" s="6" t="s">
        <v>28</v>
      </c>
      <c r="B137" s="6"/>
      <c r="C137" s="6"/>
      <c r="D137" s="6"/>
      <c r="E137" s="6"/>
      <c r="F137" s="54">
        <f>5814+28706+10799+5199+13269</f>
        <v>63787</v>
      </c>
      <c r="G137" s="53">
        <f>5664+5184+32366+12585+6065</f>
        <v>61864</v>
      </c>
      <c r="H137" s="53">
        <f>6650+34516+5412+10535+6022</f>
        <v>63135</v>
      </c>
      <c r="I137" s="53">
        <f>35825+4987+5929+7454+10388</f>
        <v>64583</v>
      </c>
      <c r="J137" s="53">
        <f>30657+8639+10066+4979+6537</f>
        <v>60878</v>
      </c>
      <c r="K137" s="53">
        <f>10385+8600+27798+5044+6625</f>
        <v>58452</v>
      </c>
    </row>
    <row r="138" spans="1:11" s="43" customFormat="1" ht="18.75" x14ac:dyDescent="0.3">
      <c r="A138" s="6" t="s">
        <v>29</v>
      </c>
      <c r="B138" s="6"/>
      <c r="C138" s="6"/>
      <c r="D138" s="6"/>
      <c r="E138" s="6"/>
      <c r="F138" s="53">
        <f>12503+5605</f>
        <v>18108</v>
      </c>
      <c r="G138" s="53">
        <f>12422+5605</f>
        <v>18027</v>
      </c>
      <c r="H138" s="53">
        <f>5665+12434</f>
        <v>18099</v>
      </c>
      <c r="I138" s="53">
        <f>5665+12475</f>
        <v>18140</v>
      </c>
      <c r="J138" s="53">
        <f>5665+12190</f>
        <v>17855</v>
      </c>
      <c r="K138" s="54">
        <f>5665+12227</f>
        <v>17892</v>
      </c>
    </row>
    <row r="139" spans="1:11" s="43" customFormat="1" ht="18.75" x14ac:dyDescent="0.3">
      <c r="A139" s="6" t="s">
        <v>30</v>
      </c>
      <c r="B139" s="6"/>
      <c r="C139" s="6"/>
      <c r="D139" s="6"/>
      <c r="E139" s="6"/>
      <c r="F139" s="53">
        <v>279419.28999999998</v>
      </c>
      <c r="G139" s="53">
        <v>279420</v>
      </c>
      <c r="H139" s="53">
        <v>279419.28999999998</v>
      </c>
      <c r="I139" s="53">
        <v>279419.28999999998</v>
      </c>
      <c r="J139" s="53">
        <v>279419.28999999998</v>
      </c>
      <c r="K139" s="53">
        <v>279420</v>
      </c>
    </row>
    <row r="140" spans="1:11" s="43" customFormat="1" ht="18.75" x14ac:dyDescent="0.3">
      <c r="A140" s="6" t="s">
        <v>74</v>
      </c>
      <c r="B140" s="6"/>
      <c r="C140" s="6"/>
      <c r="D140" s="6"/>
      <c r="E140" s="6"/>
      <c r="F140" s="53"/>
      <c r="G140" s="53"/>
      <c r="H140" s="53"/>
      <c r="I140" s="53">
        <v>12918.69</v>
      </c>
      <c r="J140" s="53"/>
      <c r="K140" s="53"/>
    </row>
    <row r="141" spans="1:11" s="43" customFormat="1" ht="18.75" x14ac:dyDescent="0.3">
      <c r="A141" s="6" t="s">
        <v>250</v>
      </c>
      <c r="B141" s="6"/>
      <c r="C141" s="6"/>
      <c r="D141" s="6"/>
      <c r="E141" s="6"/>
      <c r="F141" s="53">
        <f>5000+7590</f>
        <v>12590</v>
      </c>
      <c r="G141" s="53">
        <f>11360+3379.67</f>
        <v>14739.67</v>
      </c>
      <c r="H141" s="53">
        <v>27640</v>
      </c>
      <c r="I141" s="55">
        <f>17320+2160+7178</f>
        <v>26658</v>
      </c>
      <c r="J141" s="53"/>
      <c r="K141" s="53">
        <f>27640+1320+7701</f>
        <v>36661</v>
      </c>
    </row>
    <row r="142" spans="1:11" s="43" customFormat="1" ht="18.75" x14ac:dyDescent="0.3">
      <c r="A142" s="6" t="s">
        <v>31</v>
      </c>
      <c r="B142" s="6"/>
      <c r="C142" s="6"/>
      <c r="D142" s="6"/>
      <c r="E142" s="6"/>
      <c r="F142" s="53"/>
      <c r="G142" s="53"/>
      <c r="H142" s="53"/>
      <c r="I142" s="53"/>
      <c r="J142" s="53"/>
      <c r="K142" s="53"/>
    </row>
    <row r="143" spans="1:11" s="43" customFormat="1" ht="18.75" x14ac:dyDescent="0.3">
      <c r="A143" s="6" t="s">
        <v>263</v>
      </c>
      <c r="B143" s="6"/>
      <c r="C143" s="6"/>
      <c r="D143" s="6"/>
      <c r="E143" s="6"/>
      <c r="F143" s="53">
        <v>57456</v>
      </c>
      <c r="G143" s="53">
        <v>54401</v>
      </c>
      <c r="H143" s="53">
        <v>54401</v>
      </c>
      <c r="I143" s="53">
        <v>54401</v>
      </c>
      <c r="J143" s="53">
        <v>54401</v>
      </c>
      <c r="K143" s="53">
        <v>54401</v>
      </c>
    </row>
    <row r="144" spans="1:11" s="43" customFormat="1" ht="18.75" x14ac:dyDescent="0.3">
      <c r="A144" s="6" t="s">
        <v>163</v>
      </c>
      <c r="B144" s="6"/>
      <c r="C144" s="6"/>
      <c r="D144" s="6"/>
      <c r="E144" s="6"/>
      <c r="F144" s="53">
        <f>4495.87</f>
        <v>4495.87</v>
      </c>
      <c r="G144" s="54">
        <f>95.51+95.51+95.51+95.51+95.5+95.49+1458.25</f>
        <v>2031.28</v>
      </c>
      <c r="H144" s="53">
        <f>95.43+95.43+935.87+95.45+95.45+95.45+95.45+95.46+95.46+95.46+95.45+95.45+95.47+1241.18</f>
        <v>3322.46</v>
      </c>
      <c r="I144" s="53">
        <f>95.48+93.57+93.57+95.48+95.48+93.57+93.57+95.48+93.57+95.48+1036.25+95.47+187.12+93.56+93.56+95.47+95.47+95.47+1240.96</f>
        <v>3978.579999999999</v>
      </c>
      <c r="J144" s="53">
        <f>95.45+95.45+95.52+95.52+958.71+95.58+95.58+95.58+95.58+95.69+95.69+1245.27</f>
        <v>3159.62</v>
      </c>
      <c r="K144" s="53">
        <f>95.85+95.85+96.03+96.03+96.06+96.06+96.06+1250.26</f>
        <v>1922.2</v>
      </c>
    </row>
    <row r="145" spans="1:11" s="43" customFormat="1" ht="18.75" x14ac:dyDescent="0.3">
      <c r="A145" s="6" t="s">
        <v>40</v>
      </c>
      <c r="B145" s="6"/>
      <c r="C145" s="6"/>
      <c r="D145" s="6"/>
      <c r="E145" s="6"/>
      <c r="F145" s="53"/>
      <c r="G145" s="53"/>
      <c r="H145" s="53"/>
      <c r="I145" s="53"/>
      <c r="J145" s="53"/>
      <c r="K145" s="53">
        <v>78570</v>
      </c>
    </row>
    <row r="146" spans="1:11" s="43" customFormat="1" ht="18.75" x14ac:dyDescent="0.3">
      <c r="A146" s="6" t="s">
        <v>35</v>
      </c>
      <c r="B146" s="6"/>
      <c r="C146" s="6"/>
      <c r="D146" s="6"/>
      <c r="E146" s="6"/>
      <c r="F146" s="53"/>
      <c r="G146" s="53">
        <f>2006.75+95.47+95.47+95.47+95.45+1240.82</f>
        <v>3629.4299999999994</v>
      </c>
      <c r="H146" s="53"/>
      <c r="I146" s="53">
        <v>7495</v>
      </c>
      <c r="J146" s="53"/>
      <c r="K146" s="53"/>
    </row>
    <row r="147" spans="1:11" s="43" customFormat="1" ht="18.75" x14ac:dyDescent="0.3">
      <c r="A147" s="6" t="s">
        <v>36</v>
      </c>
      <c r="B147" s="6"/>
      <c r="C147" s="6"/>
      <c r="D147" s="6"/>
      <c r="E147" s="6"/>
      <c r="F147" s="53">
        <v>475000</v>
      </c>
      <c r="G147" s="53">
        <v>475000</v>
      </c>
      <c r="H147" s="53">
        <v>475000</v>
      </c>
      <c r="I147" s="53">
        <v>475000</v>
      </c>
      <c r="J147" s="53">
        <v>475000</v>
      </c>
      <c r="K147" s="53">
        <v>475000</v>
      </c>
    </row>
    <row r="148" spans="1:11" s="43" customFormat="1" ht="18.75" x14ac:dyDescent="0.3">
      <c r="A148" s="6" t="s">
        <v>37</v>
      </c>
      <c r="B148" s="6"/>
      <c r="C148" s="6"/>
      <c r="D148" s="6"/>
      <c r="E148" s="6"/>
      <c r="F148" s="53">
        <v>104500</v>
      </c>
      <c r="G148" s="53">
        <v>104500</v>
      </c>
      <c r="H148" s="53">
        <v>104500</v>
      </c>
      <c r="I148" s="53">
        <v>104500</v>
      </c>
      <c r="J148" s="53">
        <v>104500</v>
      </c>
      <c r="K148" s="53">
        <v>104500</v>
      </c>
    </row>
    <row r="149" spans="1:11" s="43" customFormat="1" ht="18.75" x14ac:dyDescent="0.3">
      <c r="A149" s="6" t="s">
        <v>195</v>
      </c>
      <c r="B149" s="6"/>
      <c r="C149" s="6"/>
      <c r="D149" s="6"/>
      <c r="E149" s="6"/>
      <c r="F149" s="53"/>
      <c r="G149" s="53"/>
      <c r="H149" s="53"/>
      <c r="I149" s="53">
        <v>5100</v>
      </c>
      <c r="J149" s="53"/>
      <c r="K149" s="53"/>
    </row>
    <row r="150" spans="1:11" s="43" customFormat="1" ht="18.75" x14ac:dyDescent="0.3">
      <c r="A150" s="6" t="s">
        <v>196</v>
      </c>
      <c r="B150" s="6"/>
      <c r="C150" s="6"/>
      <c r="D150" s="6"/>
      <c r="E150" s="6"/>
      <c r="F150" s="53">
        <v>21000</v>
      </c>
      <c r="G150" s="53">
        <v>21000</v>
      </c>
      <c r="H150" s="53">
        <v>21000</v>
      </c>
      <c r="I150" s="53">
        <v>21000</v>
      </c>
      <c r="J150" s="53">
        <v>21000</v>
      </c>
      <c r="K150" s="53">
        <v>21000</v>
      </c>
    </row>
    <row r="151" spans="1:11" s="43" customFormat="1" ht="18.75" x14ac:dyDescent="0.3">
      <c r="A151" s="6" t="s">
        <v>38</v>
      </c>
      <c r="B151" s="6"/>
      <c r="C151" s="6"/>
      <c r="D151" s="6"/>
      <c r="E151" s="6"/>
      <c r="F151" s="53">
        <v>13500</v>
      </c>
      <c r="G151" s="53">
        <v>13500</v>
      </c>
      <c r="H151" s="53">
        <v>13500</v>
      </c>
      <c r="I151" s="53">
        <v>13500</v>
      </c>
      <c r="J151" s="53">
        <v>13500</v>
      </c>
      <c r="K151" s="53">
        <v>13500</v>
      </c>
    </row>
    <row r="152" spans="1:11" s="43" customFormat="1" ht="18.75" x14ac:dyDescent="0.3">
      <c r="A152" s="6" t="s">
        <v>299</v>
      </c>
      <c r="B152" s="6"/>
      <c r="C152" s="6"/>
      <c r="D152" s="6"/>
      <c r="E152" s="6"/>
      <c r="F152" s="53"/>
      <c r="G152" s="53"/>
      <c r="H152" s="53"/>
      <c r="I152" s="53"/>
      <c r="J152" s="53"/>
      <c r="K152" s="53"/>
    </row>
    <row r="153" spans="1:11" s="43" customFormat="1" ht="18.75" x14ac:dyDescent="0.3">
      <c r="A153" s="6" t="s">
        <v>300</v>
      </c>
      <c r="B153" s="6"/>
      <c r="C153" s="6"/>
      <c r="D153" s="6"/>
      <c r="E153" s="6"/>
      <c r="F153" s="53">
        <v>9450</v>
      </c>
      <c r="G153" s="53"/>
      <c r="H153" s="53"/>
      <c r="I153" s="53">
        <f>18300+18300</f>
        <v>36600</v>
      </c>
      <c r="J153" s="53"/>
      <c r="K153" s="53"/>
    </row>
    <row r="154" spans="1:11" s="43" customFormat="1" ht="18.75" x14ac:dyDescent="0.3">
      <c r="A154" s="6" t="s">
        <v>37</v>
      </c>
      <c r="B154" s="6"/>
      <c r="C154" s="6"/>
      <c r="D154" s="6"/>
      <c r="E154" s="6"/>
      <c r="F154" s="53"/>
      <c r="G154" s="53"/>
      <c r="H154" s="53"/>
      <c r="I154" s="53"/>
      <c r="J154" s="53"/>
      <c r="K154" s="53"/>
    </row>
    <row r="155" spans="1:11" s="43" customFormat="1" ht="18.75" x14ac:dyDescent="0.3">
      <c r="A155" s="6" t="s">
        <v>39</v>
      </c>
      <c r="B155" s="6"/>
      <c r="C155" s="6"/>
      <c r="D155" s="6"/>
      <c r="E155" s="6"/>
      <c r="F155" s="53">
        <f>2814.1+1276.72</f>
        <v>4090.8199999999997</v>
      </c>
      <c r="G155" s="53">
        <f>1902.3+5153.11+2779.67+5724.6+1298+2267.21+377</f>
        <v>19501.89</v>
      </c>
      <c r="H155" s="53">
        <f>2071.48+11866.24</f>
        <v>13937.72</v>
      </c>
      <c r="I155" s="53">
        <v>42749.51</v>
      </c>
      <c r="J155" s="53">
        <f>1760.66</f>
        <v>1760.66</v>
      </c>
      <c r="K155" s="53"/>
    </row>
    <row r="156" spans="1:11" s="43" customFormat="1" ht="18.75" x14ac:dyDescent="0.3">
      <c r="A156" s="6" t="s">
        <v>295</v>
      </c>
      <c r="B156" s="6"/>
      <c r="C156" s="6"/>
      <c r="D156" s="6"/>
      <c r="E156" s="6"/>
      <c r="F156" s="53">
        <v>17000</v>
      </c>
      <c r="G156" s="53">
        <v>9800</v>
      </c>
      <c r="H156" s="53">
        <v>6900</v>
      </c>
      <c r="I156" s="53">
        <v>6900</v>
      </c>
      <c r="J156" s="53">
        <v>6900</v>
      </c>
      <c r="K156" s="53">
        <v>6900</v>
      </c>
    </row>
    <row r="157" spans="1:11" s="43" customFormat="1" ht="18.75" x14ac:dyDescent="0.3">
      <c r="A157" s="6" t="s">
        <v>297</v>
      </c>
      <c r="B157" s="6"/>
      <c r="C157" s="6"/>
      <c r="D157" s="6"/>
      <c r="E157" s="6"/>
      <c r="F157" s="53">
        <v>24486</v>
      </c>
      <c r="G157" s="53">
        <v>20790</v>
      </c>
      <c r="H157" s="53">
        <v>26488</v>
      </c>
      <c r="I157" s="53">
        <v>20328</v>
      </c>
      <c r="J157" s="53">
        <v>18905</v>
      </c>
      <c r="K157" s="53">
        <v>14938</v>
      </c>
    </row>
    <row r="158" spans="1:11" s="43" customFormat="1" ht="18.75" x14ac:dyDescent="0.3">
      <c r="A158" s="6" t="s">
        <v>41</v>
      </c>
      <c r="B158" s="6"/>
      <c r="C158" s="6"/>
      <c r="D158" s="6"/>
      <c r="E158" s="6"/>
      <c r="F158" s="53">
        <v>32985</v>
      </c>
      <c r="G158" s="53">
        <f>32000+52332+27357</f>
        <v>111689</v>
      </c>
      <c r="H158" s="53">
        <f>32000+20804</f>
        <v>52804</v>
      </c>
      <c r="I158" s="53">
        <f>32000+3721+2950.82</f>
        <v>38671.82</v>
      </c>
      <c r="J158" s="53">
        <f>2180+11300+33928</f>
        <v>47408</v>
      </c>
      <c r="K158" s="53">
        <f>16807.86+2802.3</f>
        <v>19610.16</v>
      </c>
    </row>
    <row r="159" spans="1:11" s="43" customFormat="1" ht="18.75" x14ac:dyDescent="0.3">
      <c r="A159" s="6" t="s">
        <v>174</v>
      </c>
      <c r="B159" s="6"/>
      <c r="C159" s="6"/>
      <c r="D159" s="6"/>
      <c r="E159" s="6"/>
      <c r="F159" s="53"/>
      <c r="G159" s="53">
        <f>7500+12000</f>
        <v>19500</v>
      </c>
      <c r="H159" s="53"/>
      <c r="I159" s="53"/>
      <c r="J159" s="53">
        <v>15500</v>
      </c>
      <c r="K159" s="53"/>
    </row>
    <row r="160" spans="1:11" s="43" customFormat="1" ht="18.75" x14ac:dyDescent="0.3">
      <c r="A160" s="6" t="s">
        <v>47</v>
      </c>
      <c r="B160" s="6"/>
      <c r="C160" s="6"/>
      <c r="D160" s="6"/>
      <c r="E160" s="6"/>
      <c r="F160" s="53">
        <v>7500</v>
      </c>
      <c r="G160" s="53">
        <f>2000+14100+3500</f>
        <v>19600</v>
      </c>
      <c r="H160" s="53"/>
      <c r="I160" s="53"/>
      <c r="J160" s="53"/>
      <c r="K160" s="53"/>
    </row>
    <row r="161" spans="1:11" s="43" customFormat="1" ht="18.75" x14ac:dyDescent="0.3">
      <c r="A161" s="6" t="s">
        <v>48</v>
      </c>
      <c r="B161" s="6"/>
      <c r="C161" s="6"/>
      <c r="D161" s="6"/>
      <c r="E161" s="6"/>
      <c r="F161" s="53"/>
      <c r="G161" s="53"/>
      <c r="H161" s="53"/>
      <c r="I161" s="53"/>
      <c r="J161" s="53"/>
      <c r="K161" s="53"/>
    </row>
    <row r="162" spans="1:11" s="43" customFormat="1" ht="18.75" x14ac:dyDescent="0.3">
      <c r="A162" s="6" t="s">
        <v>50</v>
      </c>
      <c r="B162" s="6"/>
      <c r="C162" s="6"/>
      <c r="D162" s="6"/>
      <c r="E162" s="6"/>
      <c r="F162" s="53"/>
      <c r="G162" s="53"/>
      <c r="H162" s="53"/>
      <c r="I162" s="53"/>
      <c r="J162" s="53"/>
      <c r="K162" s="53"/>
    </row>
    <row r="163" spans="1:11" s="43" customFormat="1" ht="18.75" x14ac:dyDescent="0.3">
      <c r="A163" s="6" t="s">
        <v>43</v>
      </c>
      <c r="B163" s="6"/>
      <c r="C163" s="6"/>
      <c r="D163" s="6"/>
      <c r="E163" s="6"/>
      <c r="F163" s="53"/>
      <c r="G163" s="53"/>
      <c r="H163" s="53"/>
      <c r="I163" s="53"/>
      <c r="J163" s="53"/>
      <c r="K163" s="53"/>
    </row>
    <row r="164" spans="1:11" s="43" customFormat="1" ht="18.75" x14ac:dyDescent="0.3">
      <c r="A164" s="6" t="s">
        <v>142</v>
      </c>
      <c r="B164" s="6"/>
      <c r="C164" s="6"/>
      <c r="D164" s="6"/>
      <c r="E164" s="6"/>
      <c r="F164" s="53"/>
      <c r="G164" s="53"/>
      <c r="H164" s="53"/>
      <c r="I164" s="53"/>
      <c r="J164" s="53">
        <v>108200</v>
      </c>
      <c r="K164" s="53"/>
    </row>
    <row r="165" spans="1:11" s="43" customFormat="1" ht="18.75" x14ac:dyDescent="0.3">
      <c r="A165" s="69" t="s">
        <v>108</v>
      </c>
      <c r="B165" s="6"/>
      <c r="C165" s="6"/>
      <c r="D165" s="6"/>
      <c r="E165" s="6"/>
      <c r="F165" s="53"/>
      <c r="G165" s="53"/>
      <c r="H165" s="53">
        <v>45500</v>
      </c>
      <c r="I165" s="53"/>
      <c r="J165" s="53"/>
      <c r="K165" s="53"/>
    </row>
    <row r="166" spans="1:11" s="43" customFormat="1" ht="18.75" x14ac:dyDescent="0.3">
      <c r="A166" s="6" t="s">
        <v>147</v>
      </c>
      <c r="B166" s="6"/>
      <c r="C166" s="6"/>
      <c r="D166" s="6"/>
      <c r="E166" s="6"/>
      <c r="F166" s="53"/>
      <c r="G166" s="53"/>
      <c r="H166" s="53">
        <v>21178</v>
      </c>
      <c r="I166" s="53">
        <f>41772+52156</f>
        <v>93928</v>
      </c>
      <c r="J166" s="53"/>
      <c r="K166" s="53"/>
    </row>
    <row r="167" spans="1:11" s="43" customFormat="1" ht="18.75" x14ac:dyDescent="0.3">
      <c r="A167" s="6" t="s">
        <v>252</v>
      </c>
      <c r="B167" s="6"/>
      <c r="C167" s="6"/>
      <c r="D167" s="6"/>
      <c r="E167" s="6"/>
      <c r="F167" s="53"/>
      <c r="G167" s="53"/>
      <c r="H167" s="53"/>
      <c r="I167" s="53"/>
      <c r="J167" s="53"/>
      <c r="K167" s="53"/>
    </row>
    <row r="168" spans="1:11" s="43" customFormat="1" ht="18.75" x14ac:dyDescent="0.3">
      <c r="A168" s="6" t="s">
        <v>253</v>
      </c>
      <c r="B168" s="6"/>
      <c r="C168" s="6"/>
      <c r="D168" s="6"/>
      <c r="E168" s="6"/>
      <c r="F168" s="53"/>
      <c r="G168" s="53">
        <f>4800+42176</f>
        <v>46976</v>
      </c>
      <c r="H168" s="53"/>
      <c r="I168" s="53"/>
      <c r="J168" s="53">
        <f>4000</f>
        <v>4000</v>
      </c>
      <c r="K168" s="53">
        <f>7378.2</f>
        <v>7378.2</v>
      </c>
    </row>
    <row r="169" spans="1:11" s="43" customFormat="1" ht="18.75" x14ac:dyDescent="0.3">
      <c r="A169" s="6" t="s">
        <v>169</v>
      </c>
      <c r="B169" s="6"/>
      <c r="C169" s="6"/>
      <c r="D169" s="6"/>
      <c r="E169" s="6"/>
      <c r="F169" s="53">
        <v>14547</v>
      </c>
      <c r="G169" s="53">
        <v>14547</v>
      </c>
      <c r="H169" s="137">
        <v>14457</v>
      </c>
      <c r="I169" s="53">
        <f>14457+2000</f>
        <v>16457</v>
      </c>
      <c r="J169" s="53">
        <v>14457</v>
      </c>
      <c r="K169" s="53">
        <v>15860</v>
      </c>
    </row>
    <row r="170" spans="1:11" s="43" customFormat="1" ht="18.75" x14ac:dyDescent="0.3">
      <c r="A170" s="6" t="s">
        <v>149</v>
      </c>
      <c r="B170" s="6"/>
      <c r="C170" s="6"/>
      <c r="D170" s="6"/>
      <c r="E170" s="6"/>
      <c r="F170" s="53"/>
      <c r="G170" s="53"/>
      <c r="H170" s="53"/>
      <c r="I170" s="53"/>
      <c r="J170" s="53"/>
      <c r="K170" s="53"/>
    </row>
    <row r="171" spans="1:11" s="43" customFormat="1" ht="15.75" x14ac:dyDescent="0.25">
      <c r="A171" s="52" t="s">
        <v>4</v>
      </c>
      <c r="B171" s="63"/>
      <c r="C171" s="64"/>
      <c r="D171" s="64"/>
      <c r="E171" s="64"/>
      <c r="F171" s="70">
        <f t="shared" ref="F171:K171" si="0">SUM(F93:F170)</f>
        <v>2336415.98</v>
      </c>
      <c r="G171" s="70">
        <f t="shared" si="0"/>
        <v>2560994.27</v>
      </c>
      <c r="H171" s="70">
        <f t="shared" si="0"/>
        <v>2193831.4699999997</v>
      </c>
      <c r="I171" s="70">
        <f t="shared" si="0"/>
        <v>2344939.8899999997</v>
      </c>
      <c r="J171" s="70">
        <f t="shared" si="0"/>
        <v>2279868.5700000003</v>
      </c>
      <c r="K171" s="70">
        <f t="shared" si="0"/>
        <v>2468548.5600000005</v>
      </c>
    </row>
    <row r="172" spans="1:11" s="43" customFormat="1" x14ac:dyDescent="0.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</row>
    <row r="173" spans="1:11" s="43" customFormat="1" ht="20.25" x14ac:dyDescent="0.3">
      <c r="A173" s="71" t="s">
        <v>3</v>
      </c>
      <c r="B173" s="72"/>
      <c r="C173" s="72"/>
      <c r="D173" s="72"/>
      <c r="E173" s="73"/>
      <c r="F173" s="52" t="s">
        <v>14</v>
      </c>
      <c r="G173" s="10" t="s">
        <v>15</v>
      </c>
      <c r="H173" s="10" t="s">
        <v>16</v>
      </c>
      <c r="I173" s="10" t="s">
        <v>17</v>
      </c>
      <c r="J173" s="10" t="s">
        <v>18</v>
      </c>
      <c r="K173" s="10" t="s">
        <v>19</v>
      </c>
    </row>
    <row r="174" spans="1:11" s="43" customFormat="1" ht="18.75" x14ac:dyDescent="0.3">
      <c r="A174" s="6" t="s">
        <v>52</v>
      </c>
      <c r="B174" s="6"/>
      <c r="C174" s="6"/>
      <c r="D174" s="6"/>
      <c r="E174" s="6"/>
      <c r="F174" s="54">
        <f>2000+9192.87</f>
        <v>11192.87</v>
      </c>
      <c r="G174" s="53"/>
      <c r="H174" s="53">
        <f>32511.24+100</f>
        <v>32611.24</v>
      </c>
      <c r="I174" s="53">
        <f>5052.57+250</f>
        <v>5302.57</v>
      </c>
      <c r="J174" s="53"/>
      <c r="K174" s="27">
        <f>9000+7500+1826+2000+609.54+500</f>
        <v>21435.54</v>
      </c>
    </row>
    <row r="175" spans="1:11" s="43" customFormat="1" ht="18.75" x14ac:dyDescent="0.3">
      <c r="A175" s="6" t="s">
        <v>53</v>
      </c>
      <c r="B175" s="6"/>
      <c r="C175" s="6"/>
      <c r="D175" s="6"/>
      <c r="E175" s="6"/>
      <c r="F175" s="54">
        <f>2.07+2.04+2.04+2.04+2.02+2.12+2.1</f>
        <v>14.429999999999998</v>
      </c>
      <c r="G175" s="53">
        <v>2.12</v>
      </c>
      <c r="H175" s="53">
        <v>5.26</v>
      </c>
      <c r="I175" s="53">
        <v>26.23</v>
      </c>
      <c r="J175" s="53">
        <f>2.16+3.12+2.26</f>
        <v>7.54</v>
      </c>
      <c r="K175" s="53">
        <f>2.23+2.28+2.29+2.29</f>
        <v>9.09</v>
      </c>
    </row>
    <row r="176" spans="1:11" s="43" customFormat="1" ht="18.75" x14ac:dyDescent="0.3">
      <c r="A176" s="6" t="s">
        <v>245</v>
      </c>
      <c r="B176" s="6"/>
      <c r="C176" s="6"/>
      <c r="D176" s="6"/>
      <c r="E176" s="6"/>
      <c r="F176" s="54"/>
      <c r="G176" s="53"/>
      <c r="H176" s="53"/>
      <c r="I176" s="53"/>
      <c r="J176" s="53"/>
      <c r="K176" s="53"/>
    </row>
    <row r="177" spans="1:11" s="43" customFormat="1" ht="18.75" x14ac:dyDescent="0.3">
      <c r="A177" s="6" t="s">
        <v>255</v>
      </c>
      <c r="B177" s="6"/>
      <c r="C177" s="6"/>
      <c r="D177" s="6"/>
      <c r="E177" s="6"/>
      <c r="F177" s="54"/>
      <c r="G177" s="53"/>
      <c r="H177" s="53"/>
      <c r="I177" s="53"/>
      <c r="J177" s="53"/>
      <c r="K177" s="53"/>
    </row>
    <row r="178" spans="1:11" s="43" customFormat="1" ht="18.75" x14ac:dyDescent="0.3">
      <c r="A178" s="6" t="s">
        <v>189</v>
      </c>
      <c r="B178" s="6"/>
      <c r="C178" s="6"/>
      <c r="D178" s="6"/>
      <c r="E178" s="6"/>
      <c r="F178" s="54">
        <f>466+1220</f>
        <v>1686</v>
      </c>
      <c r="G178" s="53">
        <f>450+220+503</f>
        <v>1173</v>
      </c>
      <c r="H178" s="53"/>
      <c r="I178" s="53">
        <f>100</f>
        <v>100</v>
      </c>
      <c r="J178" s="53">
        <v>503</v>
      </c>
      <c r="K178" s="53">
        <v>644</v>
      </c>
    </row>
    <row r="179" spans="1:11" s="43" customFormat="1" ht="18.75" x14ac:dyDescent="0.3">
      <c r="A179" s="6" t="s">
        <v>56</v>
      </c>
      <c r="B179" s="6"/>
      <c r="C179" s="6"/>
      <c r="D179" s="6"/>
      <c r="E179" s="6"/>
      <c r="F179" s="54"/>
      <c r="G179" s="53">
        <f>341.6+244</f>
        <v>585.6</v>
      </c>
      <c r="H179" s="53"/>
      <c r="I179" s="53"/>
      <c r="J179" s="53"/>
      <c r="K179" s="53"/>
    </row>
    <row r="180" spans="1:11" s="43" customFormat="1" ht="18.75" x14ac:dyDescent="0.3">
      <c r="A180" s="6" t="s">
        <v>202</v>
      </c>
      <c r="B180" s="6"/>
      <c r="C180" s="6"/>
      <c r="D180" s="6"/>
      <c r="E180" s="6"/>
      <c r="F180" s="54"/>
      <c r="G180" s="53"/>
      <c r="H180" s="53"/>
      <c r="I180" s="53"/>
      <c r="J180" s="53"/>
      <c r="K180" s="53"/>
    </row>
    <row r="181" spans="1:11" s="43" customFormat="1" ht="18.75" x14ac:dyDescent="0.3">
      <c r="A181" s="6" t="s">
        <v>90</v>
      </c>
      <c r="B181" s="6"/>
      <c r="C181" s="6"/>
      <c r="D181" s="6"/>
      <c r="E181" s="6"/>
      <c r="F181" s="54"/>
      <c r="G181" s="53"/>
      <c r="H181" s="53"/>
      <c r="I181" s="53"/>
      <c r="J181" s="53"/>
      <c r="K181" s="53"/>
    </row>
    <row r="182" spans="1:11" s="43" customFormat="1" ht="18.75" x14ac:dyDescent="0.3">
      <c r="A182" s="6" t="s">
        <v>206</v>
      </c>
      <c r="B182" s="6"/>
      <c r="C182" s="6"/>
      <c r="D182" s="6"/>
      <c r="E182" s="6"/>
      <c r="F182" s="54"/>
      <c r="G182" s="53"/>
      <c r="H182" s="53"/>
      <c r="I182" s="53"/>
      <c r="J182" s="53"/>
      <c r="K182" s="53"/>
    </row>
    <row r="183" spans="1:11" s="43" customFormat="1" ht="18.75" x14ac:dyDescent="0.3">
      <c r="A183" s="6" t="s">
        <v>305</v>
      </c>
      <c r="B183" s="6"/>
      <c r="C183" s="6"/>
      <c r="D183" s="6"/>
      <c r="E183" s="6"/>
      <c r="F183" s="54"/>
      <c r="G183" s="53"/>
      <c r="H183" s="53"/>
      <c r="I183" s="53"/>
      <c r="J183" s="53"/>
      <c r="K183" s="53">
        <v>6625</v>
      </c>
    </row>
    <row r="184" spans="1:11" s="43" customFormat="1" ht="18.75" x14ac:dyDescent="0.3">
      <c r="A184" s="6" t="s">
        <v>277</v>
      </c>
      <c r="B184" s="6"/>
      <c r="C184" s="6"/>
      <c r="D184" s="6"/>
      <c r="E184" s="6"/>
      <c r="F184" s="54"/>
      <c r="G184" s="53"/>
      <c r="H184" s="53"/>
      <c r="I184" s="53"/>
      <c r="J184" s="53"/>
      <c r="K184" s="53"/>
    </row>
    <row r="185" spans="1:11" s="43" customFormat="1" ht="18.75" x14ac:dyDescent="0.3">
      <c r="A185" s="6" t="s">
        <v>41</v>
      </c>
      <c r="B185" s="6"/>
      <c r="C185" s="6"/>
      <c r="D185" s="6"/>
      <c r="E185" s="6"/>
      <c r="F185" s="54"/>
      <c r="G185" s="53"/>
      <c r="H185" s="53"/>
      <c r="I185" s="53"/>
      <c r="J185" s="53"/>
      <c r="K185" s="53"/>
    </row>
    <row r="186" spans="1:11" s="43" customFormat="1" ht="18.75" x14ac:dyDescent="0.3">
      <c r="A186" s="6" t="s">
        <v>260</v>
      </c>
      <c r="B186" s="6"/>
      <c r="C186" s="6"/>
      <c r="D186" s="6"/>
      <c r="E186" s="6"/>
      <c r="F186" s="54"/>
      <c r="G186" s="53"/>
      <c r="H186" s="53"/>
      <c r="I186" s="53"/>
      <c r="J186" s="53"/>
      <c r="K186" s="53"/>
    </row>
    <row r="187" spans="1:11" s="43" customFormat="1" ht="18.75" x14ac:dyDescent="0.3">
      <c r="A187" s="6" t="s">
        <v>203</v>
      </c>
      <c r="B187" s="6"/>
      <c r="C187" s="6"/>
      <c r="D187" s="6"/>
      <c r="E187" s="6"/>
      <c r="F187" s="54"/>
      <c r="G187" s="53"/>
      <c r="H187" s="53"/>
      <c r="I187" s="53"/>
      <c r="J187" s="53"/>
      <c r="K187" s="53"/>
    </row>
    <row r="188" spans="1:11" s="43" customFormat="1" ht="18.75" x14ac:dyDescent="0.3">
      <c r="A188" s="6" t="s">
        <v>304</v>
      </c>
      <c r="B188" s="6"/>
      <c r="C188" s="6"/>
      <c r="D188" s="6"/>
      <c r="E188" s="6"/>
      <c r="F188" s="54">
        <v>610</v>
      </c>
      <c r="G188" s="53"/>
      <c r="H188" s="53"/>
      <c r="I188" s="53"/>
      <c r="J188" s="53"/>
      <c r="K188" s="53">
        <f>185+13730</f>
        <v>13915</v>
      </c>
    </row>
    <row r="189" spans="1:11" s="43" customFormat="1" ht="18.75" x14ac:dyDescent="0.3">
      <c r="A189" s="6" t="s">
        <v>140</v>
      </c>
      <c r="B189" s="6"/>
      <c r="C189" s="6"/>
      <c r="D189" s="6"/>
      <c r="E189" s="6"/>
      <c r="F189" s="54"/>
      <c r="G189" s="53"/>
      <c r="H189" s="53"/>
      <c r="I189" s="53"/>
      <c r="J189" s="53"/>
      <c r="K189" s="53"/>
    </row>
    <row r="190" spans="1:11" s="43" customFormat="1" ht="18.75" x14ac:dyDescent="0.3">
      <c r="A190" s="6" t="s">
        <v>274</v>
      </c>
      <c r="B190" s="6"/>
      <c r="C190" s="6"/>
      <c r="D190" s="6"/>
      <c r="E190" s="6"/>
      <c r="F190" s="54"/>
      <c r="G190" s="53"/>
      <c r="H190" s="53"/>
      <c r="I190" s="53"/>
      <c r="J190" s="53"/>
      <c r="K190" s="53"/>
    </row>
    <row r="191" spans="1:11" s="43" customFormat="1" ht="18.75" x14ac:dyDescent="0.3">
      <c r="A191" s="6" t="s">
        <v>72</v>
      </c>
      <c r="B191" s="6"/>
      <c r="C191" s="6"/>
      <c r="D191" s="6"/>
      <c r="E191" s="6"/>
      <c r="F191" s="54">
        <v>3000</v>
      </c>
      <c r="G191" s="53">
        <f>530+200+500+300</f>
        <v>1530</v>
      </c>
      <c r="H191" s="53"/>
      <c r="I191" s="53">
        <f>900</f>
        <v>900</v>
      </c>
      <c r="J191" s="53"/>
      <c r="K191" s="53"/>
    </row>
    <row r="192" spans="1:11" s="43" customFormat="1" ht="18.75" x14ac:dyDescent="0.3">
      <c r="A192" s="6" t="s">
        <v>210</v>
      </c>
      <c r="B192" s="6"/>
      <c r="C192" s="6"/>
      <c r="D192" s="6"/>
      <c r="E192" s="6"/>
      <c r="F192" s="54"/>
      <c r="G192" s="53"/>
      <c r="H192" s="53"/>
      <c r="I192" s="53"/>
      <c r="J192" s="53"/>
      <c r="K192" s="53"/>
    </row>
    <row r="193" spans="1:11" s="43" customFormat="1" ht="18.75" x14ac:dyDescent="0.3">
      <c r="A193" s="6" t="s">
        <v>209</v>
      </c>
      <c r="B193" s="6"/>
      <c r="C193" s="6"/>
      <c r="D193" s="6"/>
      <c r="E193" s="6"/>
      <c r="F193" s="54"/>
      <c r="G193" s="53"/>
      <c r="H193" s="53">
        <v>890.8</v>
      </c>
      <c r="I193" s="53">
        <v>890.8</v>
      </c>
      <c r="J193" s="53">
        <v>891.01</v>
      </c>
      <c r="K193" s="53">
        <v>890.8</v>
      </c>
    </row>
    <row r="194" spans="1:11" s="43" customFormat="1" ht="18.75" x14ac:dyDescent="0.3">
      <c r="A194" s="6" t="s">
        <v>33</v>
      </c>
      <c r="B194" s="6"/>
      <c r="C194" s="6"/>
      <c r="D194" s="6"/>
      <c r="E194" s="6"/>
      <c r="F194" s="74"/>
      <c r="G194" s="53"/>
      <c r="H194" s="53"/>
      <c r="I194" s="53"/>
      <c r="J194" s="53"/>
      <c r="K194" s="53"/>
    </row>
    <row r="195" spans="1:11" s="43" customFormat="1" ht="18.75" x14ac:dyDescent="0.3">
      <c r="A195" s="6" t="s">
        <v>237</v>
      </c>
      <c r="B195" s="6"/>
      <c r="C195" s="6"/>
      <c r="D195" s="6"/>
      <c r="E195" s="6"/>
      <c r="F195" s="74">
        <v>1000</v>
      </c>
      <c r="G195" s="53"/>
      <c r="H195" s="53">
        <f>4427+292.8</f>
        <v>4719.8</v>
      </c>
      <c r="I195" s="53"/>
      <c r="J195" s="53"/>
      <c r="K195" s="53"/>
    </row>
    <row r="196" spans="1:11" s="43" customFormat="1" ht="18.75" x14ac:dyDescent="0.3">
      <c r="A196" s="6" t="s">
        <v>172</v>
      </c>
      <c r="B196" s="6"/>
      <c r="C196" s="6"/>
      <c r="D196" s="6"/>
      <c r="E196" s="6"/>
      <c r="F196" s="54"/>
      <c r="G196" s="53"/>
      <c r="H196" s="53"/>
      <c r="I196" s="53"/>
      <c r="J196" s="53"/>
      <c r="K196" s="53"/>
    </row>
    <row r="197" spans="1:11" s="43" customFormat="1" ht="15.75" x14ac:dyDescent="0.25">
      <c r="A197" s="52" t="s">
        <v>4</v>
      </c>
      <c r="B197" s="63"/>
      <c r="C197" s="63"/>
      <c r="D197" s="63"/>
      <c r="E197" s="63"/>
      <c r="F197" s="70">
        <f t="shared" ref="F197:K197" si="1">SUM(F174:F196)</f>
        <v>17503.300000000003</v>
      </c>
      <c r="G197" s="70">
        <f t="shared" si="1"/>
        <v>3290.72</v>
      </c>
      <c r="H197" s="70">
        <f t="shared" si="1"/>
        <v>38227.100000000006</v>
      </c>
      <c r="I197" s="70">
        <f t="shared" si="1"/>
        <v>7219.5999999999995</v>
      </c>
      <c r="J197" s="70">
        <f t="shared" si="1"/>
        <v>1401.55</v>
      </c>
      <c r="K197" s="70">
        <f t="shared" si="1"/>
        <v>43519.430000000008</v>
      </c>
    </row>
    <row r="198" spans="1:11" s="43" customFormat="1" x14ac:dyDescent="0.2">
      <c r="F198" s="75"/>
      <c r="G198" s="75"/>
      <c r="H198" s="75"/>
      <c r="I198" s="75"/>
      <c r="J198" s="75"/>
      <c r="K198" s="75"/>
    </row>
    <row r="199" spans="1:11" s="43" customFormat="1" ht="20.25" x14ac:dyDescent="0.3">
      <c r="A199" s="71" t="s">
        <v>3</v>
      </c>
      <c r="B199" s="72"/>
      <c r="C199" s="72"/>
      <c r="D199" s="72"/>
      <c r="E199" s="73"/>
      <c r="F199" s="76" t="s">
        <v>20</v>
      </c>
      <c r="G199" s="21" t="s">
        <v>21</v>
      </c>
      <c r="H199" s="21" t="s">
        <v>22</v>
      </c>
      <c r="I199" s="21" t="s">
        <v>1</v>
      </c>
      <c r="J199" s="21" t="s">
        <v>2</v>
      </c>
      <c r="K199" s="21" t="s">
        <v>0</v>
      </c>
    </row>
    <row r="200" spans="1:11" s="43" customFormat="1" ht="18.75" x14ac:dyDescent="0.3">
      <c r="A200" s="6" t="s">
        <v>52</v>
      </c>
      <c r="B200" s="6"/>
      <c r="C200" s="6"/>
      <c r="D200" s="6"/>
      <c r="E200" s="6"/>
      <c r="F200" s="53">
        <f>5442.07+8286.18</f>
        <v>13728.25</v>
      </c>
      <c r="G200" s="53"/>
      <c r="H200" s="53">
        <f>12292.24+3000</f>
        <v>15292.24</v>
      </c>
      <c r="I200" s="53">
        <f>5313.4+20000</f>
        <v>25313.4</v>
      </c>
      <c r="J200" s="53"/>
      <c r="K200" s="53">
        <f>3+2997+8000+3000+2000</f>
        <v>16000</v>
      </c>
    </row>
    <row r="201" spans="1:11" s="43" customFormat="1" ht="18.75" x14ac:dyDescent="0.3">
      <c r="A201" s="6" t="s">
        <v>53</v>
      </c>
      <c r="B201" s="6"/>
      <c r="C201" s="6"/>
      <c r="D201" s="6"/>
      <c r="E201" s="6"/>
      <c r="F201" s="53">
        <f>2.25+2.26+2.29+2.28+2.28+2.28+2.29+2.29+2.29+2.29+2.29+2.29+2.31+2.35+2.32+2.3</f>
        <v>36.659999999999989</v>
      </c>
      <c r="G201" s="53">
        <f>2.38+2.38+2.31</f>
        <v>7.07</v>
      </c>
      <c r="H201" s="53">
        <f>26.73+2.34</f>
        <v>29.07</v>
      </c>
      <c r="I201" s="53">
        <f>2.34+2.34+2.34+2.33+2.33+2.33+2.34+2.34+2.34+2.34+15+2.4</f>
        <v>40.770000000000003</v>
      </c>
      <c r="J201" s="53">
        <f>2.4</f>
        <v>2.4</v>
      </c>
      <c r="K201" s="53">
        <f>2.41+15+2.41</f>
        <v>19.82</v>
      </c>
    </row>
    <row r="202" spans="1:11" s="43" customFormat="1" ht="18.75" x14ac:dyDescent="0.3">
      <c r="A202" s="6" t="s">
        <v>254</v>
      </c>
      <c r="B202" s="6"/>
      <c r="C202" s="6"/>
      <c r="D202" s="6"/>
      <c r="E202" s="6"/>
      <c r="F202" s="54"/>
      <c r="G202" s="53"/>
      <c r="H202" s="53"/>
      <c r="I202" s="53"/>
      <c r="J202" s="53"/>
      <c r="K202" s="53"/>
    </row>
    <row r="203" spans="1:11" s="43" customFormat="1" ht="18.75" x14ac:dyDescent="0.3">
      <c r="A203" s="6" t="s">
        <v>283</v>
      </c>
      <c r="B203" s="6"/>
      <c r="C203" s="6"/>
      <c r="D203" s="6"/>
      <c r="E203" s="6"/>
      <c r="F203" s="54"/>
      <c r="G203" s="53"/>
      <c r="H203" s="53"/>
      <c r="I203" s="53"/>
      <c r="J203" s="53"/>
      <c r="K203" s="53"/>
    </row>
    <row r="204" spans="1:11" s="43" customFormat="1" ht="18.75" x14ac:dyDescent="0.3">
      <c r="A204" s="6" t="s">
        <v>291</v>
      </c>
      <c r="B204" s="6"/>
      <c r="C204" s="6"/>
      <c r="D204" s="6"/>
      <c r="E204" s="6"/>
      <c r="F204" s="54"/>
      <c r="G204" s="53"/>
      <c r="H204" s="53"/>
      <c r="I204" s="53"/>
      <c r="J204" s="53">
        <f>3500+5500+5800+1380</f>
        <v>16180</v>
      </c>
      <c r="K204" s="53">
        <f>6851+16007+5200</f>
        <v>28058</v>
      </c>
    </row>
    <row r="205" spans="1:11" s="43" customFormat="1" ht="18.75" x14ac:dyDescent="0.3">
      <c r="A205" s="6" t="s">
        <v>209</v>
      </c>
      <c r="B205" s="6"/>
      <c r="C205" s="6"/>
      <c r="D205" s="6"/>
      <c r="E205" s="6"/>
      <c r="F205" s="54">
        <v>890.8</v>
      </c>
      <c r="G205" s="53">
        <v>890.8</v>
      </c>
      <c r="H205" s="53">
        <v>890.8</v>
      </c>
      <c r="I205" s="53">
        <v>890.8</v>
      </c>
      <c r="J205" s="53">
        <v>890.8</v>
      </c>
      <c r="K205" s="53">
        <v>890.77</v>
      </c>
    </row>
    <row r="206" spans="1:11" s="43" customFormat="1" ht="18.75" x14ac:dyDescent="0.3">
      <c r="A206" s="6" t="s">
        <v>222</v>
      </c>
      <c r="B206" s="6"/>
      <c r="C206" s="6"/>
      <c r="D206" s="6"/>
      <c r="E206" s="6"/>
      <c r="F206" s="54">
        <v>1390</v>
      </c>
      <c r="G206" s="53">
        <v>503</v>
      </c>
      <c r="H206" s="53">
        <f>503+20+55+15+24+30+165</f>
        <v>812</v>
      </c>
      <c r="I206" s="53">
        <f>503+280</f>
        <v>783</v>
      </c>
      <c r="J206" s="53">
        <f>96+41+503+55</f>
        <v>695</v>
      </c>
      <c r="K206" s="53">
        <f>21+503+258.64+88+88</f>
        <v>958.64</v>
      </c>
    </row>
    <row r="207" spans="1:11" s="43" customFormat="1" ht="18.75" x14ac:dyDescent="0.3">
      <c r="A207" s="6" t="s">
        <v>169</v>
      </c>
      <c r="B207" s="6"/>
      <c r="C207" s="6"/>
      <c r="D207" s="6"/>
      <c r="E207" s="6"/>
      <c r="F207" s="54"/>
      <c r="G207" s="53"/>
      <c r="H207" s="53"/>
      <c r="I207" s="53"/>
      <c r="J207" s="53"/>
      <c r="K207" s="53"/>
    </row>
    <row r="208" spans="1:11" s="43" customFormat="1" ht="18.75" x14ac:dyDescent="0.3">
      <c r="A208" s="6" t="s">
        <v>298</v>
      </c>
      <c r="B208" s="6"/>
      <c r="C208" s="6"/>
      <c r="D208" s="6"/>
      <c r="E208" s="6"/>
      <c r="F208" s="54"/>
      <c r="G208" s="53">
        <v>6625</v>
      </c>
      <c r="H208" s="53">
        <v>13250</v>
      </c>
      <c r="I208" s="53">
        <v>13250</v>
      </c>
      <c r="J208" s="53"/>
      <c r="K208" s="53"/>
    </row>
    <row r="209" spans="1:11" s="43" customFormat="1" ht="18.75" x14ac:dyDescent="0.3">
      <c r="A209" s="6" t="s">
        <v>282</v>
      </c>
      <c r="B209" s="6"/>
      <c r="C209" s="6"/>
      <c r="D209" s="6"/>
      <c r="E209" s="6"/>
      <c r="F209" s="54"/>
      <c r="G209" s="53"/>
      <c r="H209" s="53"/>
      <c r="I209" s="53"/>
      <c r="J209" s="53"/>
      <c r="K209" s="53"/>
    </row>
    <row r="210" spans="1:11" s="43" customFormat="1" ht="18.75" x14ac:dyDescent="0.3">
      <c r="A210" s="6" t="s">
        <v>180</v>
      </c>
      <c r="B210" s="6"/>
      <c r="C210" s="6"/>
      <c r="D210" s="6"/>
      <c r="E210" s="6"/>
      <c r="F210" s="54"/>
      <c r="G210" s="53">
        <f>480.98+240+132</f>
        <v>852.98</v>
      </c>
      <c r="H210" s="53"/>
      <c r="I210" s="53">
        <f>1600+624</f>
        <v>2224</v>
      </c>
      <c r="J210" s="53"/>
      <c r="K210" s="53">
        <v>1000</v>
      </c>
    </row>
    <row r="211" spans="1:11" s="43" customFormat="1" ht="18.75" x14ac:dyDescent="0.3">
      <c r="A211" s="62" t="s">
        <v>248</v>
      </c>
      <c r="B211" s="6"/>
      <c r="C211" s="6"/>
      <c r="D211" s="6"/>
      <c r="E211" s="6"/>
      <c r="F211" s="54"/>
      <c r="G211" s="53"/>
      <c r="H211" s="53"/>
      <c r="I211" s="53"/>
      <c r="J211" s="53"/>
      <c r="K211" s="53"/>
    </row>
    <row r="212" spans="1:11" s="43" customFormat="1" ht="18.75" x14ac:dyDescent="0.3">
      <c r="A212" s="6" t="s">
        <v>284</v>
      </c>
      <c r="B212" s="6"/>
      <c r="C212" s="6"/>
      <c r="D212" s="6"/>
      <c r="E212" s="6"/>
      <c r="F212" s="54"/>
      <c r="G212" s="53"/>
      <c r="H212" s="53"/>
      <c r="I212" s="53"/>
      <c r="J212" s="53"/>
      <c r="K212" s="53"/>
    </row>
    <row r="213" spans="1:11" s="43" customFormat="1" ht="18.75" x14ac:dyDescent="0.3">
      <c r="A213" s="6" t="s">
        <v>277</v>
      </c>
      <c r="B213" s="6"/>
      <c r="C213" s="6"/>
      <c r="D213" s="6"/>
      <c r="E213" s="77"/>
      <c r="F213" s="54"/>
      <c r="G213" s="53"/>
      <c r="H213" s="53"/>
      <c r="I213" s="53"/>
      <c r="J213" s="53"/>
      <c r="K213" s="53"/>
    </row>
    <row r="214" spans="1:11" s="43" customFormat="1" ht="18.75" x14ac:dyDescent="0.3">
      <c r="A214" s="6" t="s">
        <v>276</v>
      </c>
      <c r="B214" s="6"/>
      <c r="C214" s="6"/>
      <c r="D214" s="6"/>
      <c r="E214" s="77"/>
      <c r="F214" s="54">
        <v>3130</v>
      </c>
      <c r="G214" s="53">
        <f>350</f>
        <v>350</v>
      </c>
      <c r="H214" s="53"/>
      <c r="I214" s="53"/>
      <c r="J214" s="53"/>
      <c r="K214" s="53"/>
    </row>
    <row r="215" spans="1:11" s="43" customFormat="1" ht="18.75" x14ac:dyDescent="0.3">
      <c r="A215" s="6" t="s">
        <v>152</v>
      </c>
      <c r="B215" s="6"/>
      <c r="C215" s="6"/>
      <c r="D215" s="6"/>
      <c r="E215" s="77"/>
      <c r="F215" s="54"/>
      <c r="G215" s="53"/>
      <c r="H215" s="53"/>
      <c r="I215" s="53"/>
      <c r="J215" s="53"/>
      <c r="K215" s="53"/>
    </row>
    <row r="216" spans="1:11" s="43" customFormat="1" ht="16.5" thickBot="1" x14ac:dyDescent="0.3">
      <c r="A216" s="52" t="s">
        <v>4</v>
      </c>
      <c r="B216" s="63"/>
      <c r="C216" s="63"/>
      <c r="D216" s="63"/>
      <c r="E216" s="78"/>
      <c r="F216" s="79">
        <f t="shared" ref="F216:K216" si="2">SUM(F200:F215)</f>
        <v>19175.71</v>
      </c>
      <c r="G216" s="79">
        <f t="shared" si="2"/>
        <v>9228.85</v>
      </c>
      <c r="H216" s="79">
        <f t="shared" si="2"/>
        <v>30274.11</v>
      </c>
      <c r="I216" s="79">
        <f t="shared" si="2"/>
        <v>42501.97</v>
      </c>
      <c r="J216" s="79">
        <f t="shared" si="2"/>
        <v>17768.2</v>
      </c>
      <c r="K216" s="79">
        <f t="shared" si="2"/>
        <v>46927.229999999996</v>
      </c>
    </row>
    <row r="217" spans="1:11" s="43" customFormat="1" x14ac:dyDescent="0.2">
      <c r="F217" s="75"/>
      <c r="G217" s="75"/>
      <c r="H217" s="75"/>
      <c r="I217" s="75"/>
      <c r="J217" s="75"/>
      <c r="K217" s="75"/>
    </row>
    <row r="218" spans="1:11" s="43" customFormat="1" ht="24.75" x14ac:dyDescent="0.5">
      <c r="A218" s="48" t="s">
        <v>13</v>
      </c>
      <c r="B218" s="49"/>
      <c r="C218" s="49"/>
      <c r="D218" s="49"/>
      <c r="F218" s="75"/>
      <c r="G218" s="75"/>
      <c r="H218" s="75"/>
      <c r="I218" s="75"/>
      <c r="J218" s="75"/>
      <c r="K218" s="75"/>
    </row>
    <row r="219" spans="1:11" s="43" customFormat="1" ht="19.5" x14ac:dyDescent="0.35">
      <c r="A219" s="50" t="s">
        <v>5</v>
      </c>
      <c r="B219" s="51"/>
      <c r="C219" s="51"/>
      <c r="D219" s="51"/>
      <c r="E219" s="51"/>
      <c r="F219" s="52" t="s">
        <v>14</v>
      </c>
      <c r="G219" s="10" t="s">
        <v>15</v>
      </c>
      <c r="H219" s="10" t="s">
        <v>16</v>
      </c>
      <c r="I219" s="10" t="s">
        <v>17</v>
      </c>
      <c r="J219" s="10" t="s">
        <v>18</v>
      </c>
      <c r="K219" s="10" t="s">
        <v>19</v>
      </c>
    </row>
    <row r="220" spans="1:11" s="43" customFormat="1" ht="18.75" x14ac:dyDescent="0.3">
      <c r="A220" s="6" t="s">
        <v>60</v>
      </c>
      <c r="B220" s="6"/>
      <c r="C220" s="6"/>
      <c r="D220" s="80"/>
      <c r="E220" s="6"/>
      <c r="F220" s="53">
        <v>114342.76</v>
      </c>
      <c r="G220" s="53"/>
      <c r="H220" s="53"/>
      <c r="I220" s="53"/>
      <c r="J220" s="53"/>
      <c r="K220" s="53"/>
    </row>
    <row r="221" spans="1:11" s="43" customFormat="1" ht="18.75" x14ac:dyDescent="0.3">
      <c r="A221" s="6" t="s">
        <v>61</v>
      </c>
      <c r="B221" s="6"/>
      <c r="C221" s="6"/>
      <c r="D221" s="6"/>
      <c r="E221" s="6"/>
      <c r="F221" s="81">
        <v>5231749.1500000004</v>
      </c>
      <c r="G221" s="55">
        <v>445875</v>
      </c>
      <c r="H221" s="53">
        <f>178500+4424</f>
        <v>182924</v>
      </c>
      <c r="I221" s="53">
        <f>5115442.62</f>
        <v>5115442.62</v>
      </c>
      <c r="J221" s="53">
        <v>182269</v>
      </c>
      <c r="K221" s="68">
        <f>360771+7330</f>
        <v>368101</v>
      </c>
    </row>
    <row r="222" spans="1:11" s="43" customFormat="1" ht="18.75" x14ac:dyDescent="0.3">
      <c r="A222" s="6" t="s">
        <v>173</v>
      </c>
      <c r="B222" s="6"/>
      <c r="C222" s="6"/>
      <c r="D222" s="6"/>
      <c r="E222" s="6"/>
      <c r="F222" s="53"/>
      <c r="G222" s="53"/>
      <c r="H222" s="53"/>
      <c r="I222" s="53"/>
      <c r="J222" s="53">
        <f>0.71</f>
        <v>0.71</v>
      </c>
      <c r="K222" s="53">
        <v>3416</v>
      </c>
    </row>
    <row r="223" spans="1:11" s="43" customFormat="1" ht="18.75" x14ac:dyDescent="0.3">
      <c r="A223" s="6" t="s">
        <v>63</v>
      </c>
      <c r="B223" s="6"/>
      <c r="C223" s="6"/>
      <c r="D223" s="6"/>
      <c r="E223" s="6"/>
      <c r="F223" s="54"/>
      <c r="G223" s="60"/>
      <c r="H223" s="53">
        <f>1376231.89+4135</f>
        <v>1380366.89</v>
      </c>
      <c r="I223" s="53">
        <f>209782.84</f>
        <v>209782.84</v>
      </c>
      <c r="J223" s="53"/>
      <c r="K223" s="53">
        <v>944481.07</v>
      </c>
    </row>
    <row r="224" spans="1:11" s="43" customFormat="1" ht="18.75" x14ac:dyDescent="0.3">
      <c r="A224" s="6" t="s">
        <v>64</v>
      </c>
      <c r="B224" s="6"/>
      <c r="C224" s="6"/>
      <c r="D224" s="6"/>
      <c r="E224" s="6"/>
      <c r="F224" s="53"/>
      <c r="G224" s="53"/>
      <c r="H224" s="53"/>
      <c r="I224" s="53"/>
      <c r="J224" s="53"/>
      <c r="K224" s="53"/>
    </row>
    <row r="225" spans="1:11" s="43" customFormat="1" ht="15.75" x14ac:dyDescent="0.25">
      <c r="A225" s="52" t="s">
        <v>4</v>
      </c>
      <c r="B225" s="64"/>
      <c r="C225" s="64"/>
      <c r="D225" s="64"/>
      <c r="E225" s="64"/>
      <c r="F225" s="82">
        <f t="shared" ref="F225:K225" si="3">SUM(F220:F224)</f>
        <v>5346091.91</v>
      </c>
      <c r="G225" s="70">
        <f t="shared" si="3"/>
        <v>445875</v>
      </c>
      <c r="H225" s="70">
        <f t="shared" si="3"/>
        <v>1563290.89</v>
      </c>
      <c r="I225" s="70">
        <f t="shared" si="3"/>
        <v>5325225.46</v>
      </c>
      <c r="J225" s="70">
        <f t="shared" si="3"/>
        <v>182269.71</v>
      </c>
      <c r="K225" s="70">
        <f t="shared" si="3"/>
        <v>1315998.0699999998</v>
      </c>
    </row>
    <row r="226" spans="1:11" s="43" customFormat="1" x14ac:dyDescent="0.2"/>
    <row r="227" spans="1:11" s="43" customFormat="1" x14ac:dyDescent="0.2"/>
    <row r="228" spans="1:11" s="43" customFormat="1" ht="19.5" x14ac:dyDescent="0.35">
      <c r="A228" s="50" t="s">
        <v>5</v>
      </c>
      <c r="B228" s="51"/>
      <c r="C228" s="51"/>
      <c r="D228" s="51"/>
      <c r="E228" s="51"/>
      <c r="F228" s="52" t="s">
        <v>20</v>
      </c>
      <c r="G228" s="10" t="s">
        <v>21</v>
      </c>
      <c r="H228" s="10" t="s">
        <v>22</v>
      </c>
      <c r="I228" s="10" t="s">
        <v>1</v>
      </c>
      <c r="J228" s="10" t="s">
        <v>2</v>
      </c>
      <c r="K228" s="10" t="s">
        <v>0</v>
      </c>
    </row>
    <row r="229" spans="1:11" s="43" customFormat="1" ht="18.75" x14ac:dyDescent="0.3">
      <c r="A229" s="6" t="s">
        <v>60</v>
      </c>
      <c r="B229" s="6"/>
      <c r="C229" s="6"/>
      <c r="D229" s="80"/>
      <c r="E229" s="6"/>
      <c r="F229" s="53"/>
      <c r="G229" s="53"/>
      <c r="H229" s="53"/>
      <c r="I229" s="53"/>
      <c r="J229" s="53"/>
      <c r="K229" s="53"/>
    </row>
    <row r="230" spans="1:11" s="43" customFormat="1" ht="18.75" x14ac:dyDescent="0.3">
      <c r="A230" s="6" t="s">
        <v>67</v>
      </c>
      <c r="B230" s="6"/>
      <c r="C230" s="6"/>
      <c r="D230" s="6"/>
      <c r="E230" s="6"/>
      <c r="F230" s="53">
        <v>5390961.8700000001</v>
      </c>
      <c r="G230" s="54">
        <v>247327</v>
      </c>
      <c r="H230" s="53">
        <v>520965.2</v>
      </c>
      <c r="I230" s="53">
        <v>5414658.2800000003</v>
      </c>
      <c r="J230" s="53">
        <v>420097</v>
      </c>
      <c r="K230" s="53">
        <v>484673</v>
      </c>
    </row>
    <row r="231" spans="1:11" s="43" customFormat="1" ht="18.75" x14ac:dyDescent="0.3">
      <c r="A231" s="6" t="s">
        <v>62</v>
      </c>
      <c r="B231" s="6"/>
      <c r="C231" s="6"/>
      <c r="D231" s="6"/>
      <c r="E231" s="6"/>
      <c r="F231" s="53">
        <v>4161.41</v>
      </c>
      <c r="G231" s="53">
        <f>0.71</f>
        <v>0.71</v>
      </c>
      <c r="H231" s="53"/>
      <c r="I231" s="53"/>
      <c r="J231" s="53"/>
      <c r="K231" s="53">
        <v>0.71</v>
      </c>
    </row>
    <row r="232" spans="1:11" s="43" customFormat="1" ht="18.75" x14ac:dyDescent="0.3">
      <c r="A232" s="6" t="s">
        <v>63</v>
      </c>
      <c r="B232" s="6"/>
      <c r="C232" s="6"/>
      <c r="D232" s="6"/>
      <c r="E232" s="6"/>
      <c r="F232" s="68">
        <v>555279.04</v>
      </c>
      <c r="G232" s="53"/>
      <c r="H232" s="53">
        <v>404966.52</v>
      </c>
      <c r="I232" s="53"/>
      <c r="J232" s="53"/>
      <c r="K232" s="53">
        <v>658010</v>
      </c>
    </row>
    <row r="233" spans="1:11" s="43" customFormat="1" ht="18.75" x14ac:dyDescent="0.3">
      <c r="A233" s="6" t="s">
        <v>64</v>
      </c>
      <c r="B233" s="6"/>
      <c r="C233" s="6"/>
      <c r="D233" s="6"/>
      <c r="E233" s="6"/>
      <c r="F233" s="54"/>
      <c r="G233" s="53"/>
      <c r="H233" s="53"/>
      <c r="I233" s="53"/>
      <c r="J233" s="53"/>
      <c r="K233" s="53"/>
    </row>
    <row r="234" spans="1:11" s="43" customFormat="1" ht="15.75" x14ac:dyDescent="0.25">
      <c r="A234" s="52" t="s">
        <v>4</v>
      </c>
      <c r="B234" s="64"/>
      <c r="C234" s="64"/>
      <c r="D234" s="64"/>
      <c r="E234" s="64"/>
      <c r="F234" s="82">
        <f t="shared" ref="F234:K234" si="4">SUM(F229:F233)</f>
        <v>5950402.3200000003</v>
      </c>
      <c r="G234" s="70">
        <f t="shared" si="4"/>
        <v>247327.71</v>
      </c>
      <c r="H234" s="70">
        <f t="shared" si="4"/>
        <v>925931.72</v>
      </c>
      <c r="I234" s="70">
        <f t="shared" si="4"/>
        <v>5414658.2800000003</v>
      </c>
      <c r="J234" s="70">
        <f t="shared" si="4"/>
        <v>420097</v>
      </c>
      <c r="K234" s="70">
        <f t="shared" si="4"/>
        <v>1142683.71</v>
      </c>
    </row>
    <row r="235" spans="1:11" s="43" customFormat="1" x14ac:dyDescent="0.2">
      <c r="F235" s="75"/>
      <c r="G235" s="75"/>
      <c r="H235" s="75"/>
      <c r="I235" s="75"/>
      <c r="J235" s="75"/>
      <c r="K235" s="75"/>
    </row>
    <row r="236" spans="1:11" s="43" customFormat="1" ht="19.5" x14ac:dyDescent="0.35">
      <c r="A236" s="50" t="s">
        <v>66</v>
      </c>
      <c r="B236" s="51"/>
      <c r="C236" s="51"/>
      <c r="D236" s="51"/>
      <c r="E236" s="51"/>
      <c r="F236" s="52" t="s">
        <v>14</v>
      </c>
      <c r="G236" s="10" t="s">
        <v>15</v>
      </c>
      <c r="H236" s="10" t="s">
        <v>16</v>
      </c>
      <c r="I236" s="10" t="s">
        <v>17</v>
      </c>
      <c r="J236" s="10" t="s">
        <v>18</v>
      </c>
      <c r="K236" s="10" t="s">
        <v>19</v>
      </c>
    </row>
    <row r="237" spans="1:11" s="43" customFormat="1" ht="18.75" x14ac:dyDescent="0.3">
      <c r="A237" s="6" t="s">
        <v>60</v>
      </c>
      <c r="B237" s="51"/>
      <c r="C237" s="51"/>
      <c r="D237" s="51"/>
      <c r="E237" s="51"/>
      <c r="F237" s="27">
        <v>79826.179999999993</v>
      </c>
      <c r="G237" s="27"/>
      <c r="H237" s="27"/>
      <c r="I237" s="27"/>
      <c r="J237" s="27"/>
      <c r="K237" s="27"/>
    </row>
    <row r="238" spans="1:11" s="43" customFormat="1" ht="18.75" x14ac:dyDescent="0.3">
      <c r="A238" s="6" t="s">
        <v>67</v>
      </c>
      <c r="B238" s="51"/>
      <c r="C238" s="51"/>
      <c r="D238" s="51"/>
      <c r="E238" s="51"/>
      <c r="F238" s="27">
        <v>46264</v>
      </c>
      <c r="G238" s="27">
        <v>3889</v>
      </c>
      <c r="H238" s="27">
        <v>2243</v>
      </c>
      <c r="I238" s="27">
        <v>62824.51</v>
      </c>
      <c r="J238" s="27">
        <v>6039</v>
      </c>
      <c r="K238" s="27">
        <v>6320</v>
      </c>
    </row>
    <row r="239" spans="1:11" s="43" customFormat="1" ht="18.75" x14ac:dyDescent="0.3">
      <c r="A239" s="6" t="s">
        <v>68</v>
      </c>
      <c r="B239" s="51"/>
      <c r="C239" s="51"/>
      <c r="D239" s="51"/>
      <c r="E239" s="51"/>
      <c r="F239" s="27"/>
      <c r="G239" s="27"/>
      <c r="H239" s="27"/>
      <c r="I239" s="27"/>
      <c r="J239" s="27"/>
      <c r="K239" s="27"/>
    </row>
    <row r="240" spans="1:11" s="43" customFormat="1" ht="19.5" thickBot="1" x14ac:dyDescent="0.35">
      <c r="A240" s="6" t="s">
        <v>289</v>
      </c>
      <c r="B240" s="51"/>
      <c r="C240" s="51"/>
      <c r="D240" s="51"/>
      <c r="E240" s="51"/>
      <c r="F240" s="28"/>
      <c r="G240" s="28"/>
      <c r="H240" s="28"/>
      <c r="I240" s="28"/>
      <c r="J240" s="28"/>
      <c r="K240" s="28"/>
    </row>
    <row r="241" spans="1:11" s="43" customFormat="1" ht="18.75" thickBot="1" x14ac:dyDescent="0.3">
      <c r="A241" s="52" t="s">
        <v>4</v>
      </c>
      <c r="B241" s="64"/>
      <c r="C241" s="51"/>
      <c r="D241" s="51"/>
      <c r="E241" s="83"/>
      <c r="F241" s="84">
        <f t="shared" ref="F241:K241" si="5">SUM(F237:F240)</f>
        <v>126090.18</v>
      </c>
      <c r="G241" s="85">
        <f t="shared" si="5"/>
        <v>3889</v>
      </c>
      <c r="H241" s="85">
        <f t="shared" si="5"/>
        <v>2243</v>
      </c>
      <c r="I241" s="85">
        <f t="shared" si="5"/>
        <v>62824.51</v>
      </c>
      <c r="J241" s="85">
        <f t="shared" si="5"/>
        <v>6039</v>
      </c>
      <c r="K241" s="86">
        <f t="shared" si="5"/>
        <v>6320</v>
      </c>
    </row>
    <row r="242" spans="1:11" s="43" customFormat="1" ht="18.75" x14ac:dyDescent="0.3">
      <c r="A242" s="62"/>
      <c r="B242" s="87"/>
      <c r="C242" s="87"/>
      <c r="D242" s="87"/>
      <c r="E242" s="87"/>
      <c r="F242" s="13"/>
      <c r="G242" s="13"/>
      <c r="H242" s="13"/>
      <c r="I242" s="13"/>
      <c r="J242" s="13"/>
      <c r="K242" s="13"/>
    </row>
    <row r="243" spans="1:11" s="43" customFormat="1" ht="19.5" x14ac:dyDescent="0.35">
      <c r="A243" s="50" t="s">
        <v>66</v>
      </c>
      <c r="B243" s="51"/>
      <c r="C243" s="51"/>
      <c r="D243" s="51"/>
      <c r="E243" s="51"/>
      <c r="F243" s="52" t="s">
        <v>20</v>
      </c>
      <c r="G243" s="10" t="s">
        <v>21</v>
      </c>
      <c r="H243" s="10" t="s">
        <v>22</v>
      </c>
      <c r="I243" s="10" t="s">
        <v>1</v>
      </c>
      <c r="J243" s="10" t="s">
        <v>2</v>
      </c>
      <c r="K243" s="10" t="s">
        <v>0</v>
      </c>
    </row>
    <row r="244" spans="1:11" s="43" customFormat="1" ht="18.75" x14ac:dyDescent="0.3">
      <c r="A244" s="6" t="s">
        <v>60</v>
      </c>
      <c r="B244" s="51"/>
      <c r="C244" s="51"/>
      <c r="D244" s="51"/>
      <c r="E244" s="51"/>
      <c r="F244" s="27"/>
      <c r="G244" s="27"/>
      <c r="H244" s="27"/>
      <c r="I244" s="27"/>
      <c r="J244" s="27"/>
      <c r="K244" s="27"/>
    </row>
    <row r="245" spans="1:11" s="43" customFormat="1" ht="18.75" x14ac:dyDescent="0.3">
      <c r="A245" s="6" t="s">
        <v>67</v>
      </c>
      <c r="B245" s="51"/>
      <c r="C245" s="51"/>
      <c r="D245" s="51"/>
      <c r="E245" s="51"/>
      <c r="F245" s="27">
        <v>49388.959999999999</v>
      </c>
      <c r="G245" s="27">
        <v>20918</v>
      </c>
      <c r="H245" s="27">
        <v>6380</v>
      </c>
      <c r="I245" s="88">
        <v>69586.25</v>
      </c>
      <c r="J245" s="27">
        <v>3908</v>
      </c>
      <c r="K245" s="27">
        <v>3550</v>
      </c>
    </row>
    <row r="246" spans="1:11" s="43" customFormat="1" ht="18.75" x14ac:dyDescent="0.3">
      <c r="A246" s="6" t="s">
        <v>68</v>
      </c>
      <c r="B246" s="51"/>
      <c r="C246" s="51"/>
      <c r="D246" s="51"/>
      <c r="E246" s="51"/>
      <c r="F246" s="27"/>
      <c r="G246" s="27"/>
      <c r="H246" s="27"/>
      <c r="I246" s="27"/>
      <c r="J246" s="27"/>
      <c r="K246" s="27"/>
    </row>
    <row r="247" spans="1:11" s="43" customFormat="1" ht="19.5" thickBot="1" x14ac:dyDescent="0.35">
      <c r="A247" s="6" t="s">
        <v>179</v>
      </c>
      <c r="B247" s="51"/>
      <c r="C247" s="51"/>
      <c r="D247" s="51"/>
      <c r="E247" s="51"/>
      <c r="F247" s="27"/>
      <c r="G247" s="27"/>
      <c r="H247" s="27"/>
      <c r="I247" s="27"/>
      <c r="J247" s="28"/>
      <c r="K247" s="28"/>
    </row>
    <row r="248" spans="1:11" s="43" customFormat="1" ht="18.75" thickBot="1" x14ac:dyDescent="0.3">
      <c r="A248" s="89" t="s">
        <v>4</v>
      </c>
      <c r="B248" s="90"/>
      <c r="C248" s="51"/>
      <c r="D248" s="51"/>
      <c r="E248" s="51"/>
      <c r="F248" s="86">
        <f t="shared" ref="F248:K248" si="6">SUM(F244:F247)</f>
        <v>49388.959999999999</v>
      </c>
      <c r="G248" s="86">
        <f t="shared" si="6"/>
        <v>20918</v>
      </c>
      <c r="H248" s="86">
        <f t="shared" si="6"/>
        <v>6380</v>
      </c>
      <c r="I248" s="86">
        <f t="shared" si="6"/>
        <v>69586.25</v>
      </c>
      <c r="J248" s="84">
        <f t="shared" si="6"/>
        <v>3908</v>
      </c>
      <c r="K248" s="86">
        <f t="shared" si="6"/>
        <v>3550</v>
      </c>
    </row>
    <row r="249" spans="1:11" s="43" customFormat="1" x14ac:dyDescent="0.2">
      <c r="F249" s="75"/>
      <c r="G249" s="75"/>
      <c r="H249" s="75"/>
      <c r="I249" s="75"/>
      <c r="J249" s="75"/>
      <c r="K249" s="75"/>
    </row>
    <row r="250" spans="1:11" s="43" customFormat="1" x14ac:dyDescent="0.2"/>
    <row r="251" spans="1:11" s="43" customFormat="1" ht="19.5" x14ac:dyDescent="0.35">
      <c r="A251" s="50" t="s">
        <v>6</v>
      </c>
      <c r="B251" s="51"/>
      <c r="C251" s="51"/>
      <c r="D251" s="51"/>
      <c r="E251" s="51"/>
      <c r="F251" s="52" t="s">
        <v>14</v>
      </c>
      <c r="G251" s="10" t="s">
        <v>15</v>
      </c>
      <c r="H251" s="10" t="s">
        <v>16</v>
      </c>
      <c r="I251" s="10" t="s">
        <v>17</v>
      </c>
      <c r="J251" s="10" t="s">
        <v>18</v>
      </c>
      <c r="K251" s="10" t="s">
        <v>19</v>
      </c>
    </row>
    <row r="252" spans="1:11" s="43" customFormat="1" ht="18.75" x14ac:dyDescent="0.3">
      <c r="A252" s="6" t="s">
        <v>65</v>
      </c>
      <c r="B252" s="6"/>
      <c r="C252" s="6"/>
      <c r="D252" s="6"/>
      <c r="E252" s="6"/>
      <c r="F252" s="53">
        <v>58102.64</v>
      </c>
      <c r="G252" s="53">
        <v>103152.64</v>
      </c>
      <c r="H252" s="53">
        <v>151917.64000000001</v>
      </c>
      <c r="I252" s="53">
        <f>H259</f>
        <v>163767.64000000001</v>
      </c>
      <c r="J252" s="53">
        <v>193617.64</v>
      </c>
      <c r="K252" s="53">
        <v>243517.64</v>
      </c>
    </row>
    <row r="253" spans="1:11" s="43" customFormat="1" ht="18.75" x14ac:dyDescent="0.3">
      <c r="A253" s="6" t="s">
        <v>171</v>
      </c>
      <c r="B253" s="6"/>
      <c r="C253" s="6"/>
      <c r="D253" s="6"/>
      <c r="E253" s="6"/>
      <c r="F253" s="53"/>
      <c r="G253" s="53"/>
      <c r="H253" s="54"/>
      <c r="I253" s="53"/>
      <c r="J253" s="53"/>
      <c r="K253" s="53"/>
    </row>
    <row r="254" spans="1:11" s="43" customFormat="1" ht="18.75" x14ac:dyDescent="0.3">
      <c r="A254" s="6" t="s">
        <v>168</v>
      </c>
      <c r="B254" s="6"/>
      <c r="C254" s="6"/>
      <c r="D254" s="6"/>
      <c r="E254" s="6"/>
      <c r="F254" s="91">
        <v>28950</v>
      </c>
      <c r="G254" s="91">
        <v>33600</v>
      </c>
      <c r="H254" s="91">
        <v>9650</v>
      </c>
      <c r="I254" s="91">
        <v>25950</v>
      </c>
      <c r="J254" s="91">
        <v>15300</v>
      </c>
      <c r="K254" s="91">
        <v>7000</v>
      </c>
    </row>
    <row r="255" spans="1:11" s="43" customFormat="1" ht="18.75" x14ac:dyDescent="0.3">
      <c r="A255" s="6" t="s">
        <v>223</v>
      </c>
      <c r="B255" s="6"/>
      <c r="C255" s="6"/>
      <c r="D255" s="6"/>
      <c r="E255" s="6"/>
      <c r="F255" s="91"/>
      <c r="G255" s="91"/>
      <c r="H255" s="91"/>
      <c r="I255" s="91"/>
      <c r="J255" s="91"/>
      <c r="K255" s="91"/>
    </row>
    <row r="256" spans="1:11" s="43" customFormat="1" ht="18.75" x14ac:dyDescent="0.3">
      <c r="A256" s="6" t="s">
        <v>227</v>
      </c>
      <c r="B256" s="6"/>
      <c r="C256" s="6"/>
      <c r="D256" s="6"/>
      <c r="E256" s="6"/>
      <c r="F256" s="91">
        <v>3500</v>
      </c>
      <c r="G256" s="91">
        <v>15050</v>
      </c>
      <c r="H256" s="91">
        <v>1500</v>
      </c>
      <c r="I256" s="91">
        <v>2000</v>
      </c>
      <c r="J256" s="91"/>
      <c r="K256" s="91">
        <v>500</v>
      </c>
    </row>
    <row r="257" spans="1:12" s="43" customFormat="1" ht="18.75" x14ac:dyDescent="0.3">
      <c r="A257" s="6" t="s">
        <v>224</v>
      </c>
      <c r="B257" s="6"/>
      <c r="C257" s="6"/>
      <c r="D257" s="6"/>
      <c r="E257" s="6"/>
      <c r="F257" s="91">
        <v>12600</v>
      </c>
      <c r="G257" s="91">
        <v>9400</v>
      </c>
      <c r="H257" s="91">
        <v>9600</v>
      </c>
      <c r="I257" s="91">
        <v>6400</v>
      </c>
      <c r="J257" s="91">
        <v>43600</v>
      </c>
      <c r="K257" s="91">
        <v>9600</v>
      </c>
    </row>
    <row r="258" spans="1:12" s="43" customFormat="1" ht="19.5" thickBot="1" x14ac:dyDescent="0.35">
      <c r="A258" s="6" t="s">
        <v>225</v>
      </c>
      <c r="B258" s="6"/>
      <c r="C258" s="6"/>
      <c r="D258" s="6"/>
      <c r="E258" s="6"/>
      <c r="F258" s="91"/>
      <c r="G258" s="91">
        <v>9285</v>
      </c>
      <c r="H258" s="91">
        <v>8900</v>
      </c>
      <c r="I258" s="91">
        <v>4500</v>
      </c>
      <c r="J258" s="91">
        <v>9000</v>
      </c>
      <c r="K258" s="91">
        <v>3900</v>
      </c>
    </row>
    <row r="259" spans="1:12" s="43" customFormat="1" ht="19.5" thickBot="1" x14ac:dyDescent="0.35">
      <c r="A259" s="52" t="s">
        <v>7</v>
      </c>
      <c r="B259" s="64"/>
      <c r="C259" s="64"/>
      <c r="D259" s="6"/>
      <c r="E259" s="77"/>
      <c r="F259" s="92">
        <f t="shared" ref="F259:K259" si="7">SUM(F252:F257)-F258</f>
        <v>103152.64</v>
      </c>
      <c r="G259" s="92">
        <f>SUM(G252:G257)-G258</f>
        <v>151917.64000000001</v>
      </c>
      <c r="H259" s="92">
        <f t="shared" si="7"/>
        <v>163767.64000000001</v>
      </c>
      <c r="I259" s="92">
        <f t="shared" si="7"/>
        <v>193617.64</v>
      </c>
      <c r="J259" s="92">
        <f t="shared" si="7"/>
        <v>243517.64</v>
      </c>
      <c r="K259" s="92">
        <f t="shared" si="7"/>
        <v>256717.64</v>
      </c>
    </row>
    <row r="260" spans="1:12" s="43" customFormat="1" x14ac:dyDescent="0.2">
      <c r="J260" s="93"/>
      <c r="K260" s="93"/>
      <c r="L260" s="93"/>
    </row>
    <row r="261" spans="1:12" s="43" customFormat="1" ht="19.5" x14ac:dyDescent="0.35">
      <c r="A261" s="50" t="s">
        <v>6</v>
      </c>
      <c r="B261" s="51"/>
      <c r="C261" s="51"/>
      <c r="D261" s="51"/>
      <c r="E261" s="51"/>
      <c r="F261" s="52" t="s">
        <v>20</v>
      </c>
      <c r="G261" s="10" t="s">
        <v>21</v>
      </c>
      <c r="H261" s="10" t="s">
        <v>22</v>
      </c>
      <c r="I261" s="10" t="s">
        <v>1</v>
      </c>
      <c r="J261" s="10" t="s">
        <v>2</v>
      </c>
      <c r="K261" s="10" t="s">
        <v>0</v>
      </c>
      <c r="L261" s="93"/>
    </row>
    <row r="262" spans="1:12" s="43" customFormat="1" ht="18.75" x14ac:dyDescent="0.3">
      <c r="A262" s="6" t="s">
        <v>10</v>
      </c>
      <c r="B262" s="6"/>
      <c r="C262" s="6"/>
      <c r="D262" s="6"/>
      <c r="E262" s="6"/>
      <c r="F262" s="53">
        <v>256717.64</v>
      </c>
      <c r="G262" s="53">
        <f>F269</f>
        <v>139158.64000000001</v>
      </c>
      <c r="H262" s="53">
        <f>G269</f>
        <v>150934.64000000001</v>
      </c>
      <c r="I262" s="53">
        <f>H269</f>
        <v>167034.64000000001</v>
      </c>
      <c r="J262" s="53">
        <f>I269</f>
        <v>174234.64</v>
      </c>
      <c r="K262" s="53">
        <f>J269</f>
        <v>187684.64</v>
      </c>
      <c r="L262" s="93"/>
    </row>
    <row r="263" spans="1:12" s="43" customFormat="1" ht="18.75" x14ac:dyDescent="0.3">
      <c r="A263" s="6" t="s">
        <v>171</v>
      </c>
      <c r="B263" s="6"/>
      <c r="C263" s="6"/>
      <c r="D263" s="6"/>
      <c r="E263" s="6"/>
      <c r="F263" s="53"/>
      <c r="G263" s="53"/>
      <c r="H263" s="53"/>
      <c r="I263" s="53"/>
      <c r="J263" s="53"/>
      <c r="K263" s="53"/>
      <c r="L263" s="93"/>
    </row>
    <row r="264" spans="1:12" s="43" customFormat="1" ht="18.75" x14ac:dyDescent="0.3">
      <c r="A264" s="6" t="s">
        <v>168</v>
      </c>
      <c r="B264" s="6"/>
      <c r="C264" s="6"/>
      <c r="D264" s="6"/>
      <c r="E264" s="6"/>
      <c r="F264" s="53">
        <v>17000</v>
      </c>
      <c r="G264" s="53">
        <v>9300</v>
      </c>
      <c r="H264" s="53">
        <v>12300</v>
      </c>
      <c r="I264" s="53">
        <v>4000</v>
      </c>
      <c r="J264" s="53">
        <v>12650</v>
      </c>
      <c r="K264" s="53">
        <v>10250</v>
      </c>
      <c r="L264" s="93"/>
    </row>
    <row r="265" spans="1:12" s="43" customFormat="1" ht="18.75" x14ac:dyDescent="0.3">
      <c r="A265" s="6" t="s">
        <v>223</v>
      </c>
      <c r="B265" s="6"/>
      <c r="C265" s="6"/>
      <c r="D265" s="6"/>
      <c r="E265" s="6"/>
      <c r="F265" s="53"/>
      <c r="G265" s="53"/>
      <c r="H265" s="53"/>
      <c r="I265" s="53"/>
      <c r="J265" s="53"/>
      <c r="K265" s="53"/>
      <c r="L265" s="93"/>
    </row>
    <row r="266" spans="1:12" s="43" customFormat="1" ht="18.75" x14ac:dyDescent="0.3">
      <c r="A266" s="6" t="s">
        <v>11</v>
      </c>
      <c r="B266" s="6"/>
      <c r="C266" s="6"/>
      <c r="D266" s="6"/>
      <c r="E266" s="6"/>
      <c r="F266" s="53"/>
      <c r="G266" s="53">
        <v>600</v>
      </c>
      <c r="H266" s="53">
        <v>600</v>
      </c>
      <c r="I266" s="53"/>
      <c r="J266" s="53">
        <v>1600</v>
      </c>
      <c r="K266" s="53">
        <v>600</v>
      </c>
      <c r="L266" s="93"/>
    </row>
    <row r="267" spans="1:12" s="43" customFormat="1" ht="18.75" x14ac:dyDescent="0.3">
      <c r="A267" s="6" t="s">
        <v>224</v>
      </c>
      <c r="B267" s="6"/>
      <c r="C267" s="6"/>
      <c r="D267" s="6"/>
      <c r="E267" s="6"/>
      <c r="F267" s="53"/>
      <c r="G267" s="53">
        <v>6400</v>
      </c>
      <c r="H267" s="53">
        <v>3200</v>
      </c>
      <c r="I267" s="53">
        <v>3200</v>
      </c>
      <c r="J267" s="53">
        <v>3200</v>
      </c>
      <c r="K267" s="53">
        <v>3200</v>
      </c>
      <c r="L267" s="93"/>
    </row>
    <row r="268" spans="1:12" s="43" customFormat="1" ht="19.5" thickBot="1" x14ac:dyDescent="0.35">
      <c r="A268" s="6" t="s">
        <v>225</v>
      </c>
      <c r="B268" s="6"/>
      <c r="C268" s="6"/>
      <c r="D268" s="6"/>
      <c r="E268" s="6"/>
      <c r="F268" s="53">
        <v>134559</v>
      </c>
      <c r="G268" s="53">
        <v>4524</v>
      </c>
      <c r="H268" s="53"/>
      <c r="I268" s="53"/>
      <c r="J268" s="53">
        <v>4000</v>
      </c>
      <c r="K268" s="53">
        <v>5396</v>
      </c>
      <c r="L268" s="93"/>
    </row>
    <row r="269" spans="1:12" s="43" customFormat="1" ht="19.5" thickBot="1" x14ac:dyDescent="0.35">
      <c r="A269" s="52" t="s">
        <v>7</v>
      </c>
      <c r="B269" s="64"/>
      <c r="C269" s="64"/>
      <c r="D269" s="6"/>
      <c r="E269" s="6"/>
      <c r="F269" s="92">
        <f t="shared" ref="F269:K269" si="8">SUM(F262:F267)-F268</f>
        <v>139158.64000000001</v>
      </c>
      <c r="G269" s="92">
        <f t="shared" si="8"/>
        <v>150934.64000000001</v>
      </c>
      <c r="H269" s="92">
        <f t="shared" si="8"/>
        <v>167034.64000000001</v>
      </c>
      <c r="I269" s="92">
        <f t="shared" si="8"/>
        <v>174234.64</v>
      </c>
      <c r="J269" s="92">
        <f t="shared" si="8"/>
        <v>187684.64</v>
      </c>
      <c r="K269" s="92">
        <f t="shared" si="8"/>
        <v>196338.64</v>
      </c>
      <c r="L269" s="93"/>
    </row>
    <row r="270" spans="1:12" s="43" customFormat="1" x14ac:dyDescent="0.2">
      <c r="J270" s="93"/>
      <c r="K270" s="93"/>
      <c r="L270" s="93"/>
    </row>
    <row r="271" spans="1:12" s="43" customFormat="1" ht="19.5" x14ac:dyDescent="0.35">
      <c r="A271" s="35" t="s">
        <v>178</v>
      </c>
      <c r="J271" s="93"/>
      <c r="K271" s="33" t="s">
        <v>181</v>
      </c>
      <c r="L271" s="93"/>
    </row>
    <row r="272" spans="1:12" s="43" customFormat="1" ht="19.5" x14ac:dyDescent="0.35">
      <c r="A272" s="35"/>
      <c r="F272" s="94" t="s">
        <v>165</v>
      </c>
      <c r="G272" s="94" t="s">
        <v>183</v>
      </c>
      <c r="H272" s="95" t="s">
        <v>176</v>
      </c>
      <c r="I272" s="94" t="s">
        <v>188</v>
      </c>
      <c r="J272" s="96" t="s">
        <v>233</v>
      </c>
      <c r="K272" s="93"/>
      <c r="L272" s="93"/>
    </row>
    <row r="273" spans="1:12" s="43" customFormat="1" ht="21" thickBot="1" x14ac:dyDescent="0.45">
      <c r="A273" s="6" t="s">
        <v>171</v>
      </c>
      <c r="B273" s="6"/>
      <c r="C273" s="6"/>
      <c r="D273" s="6"/>
      <c r="E273" s="6"/>
      <c r="F273" s="97">
        <f>F253+G253+H253+I253+J253+K253+F263+G263+H263+I263+J263+K263</f>
        <v>0</v>
      </c>
      <c r="G273" s="98">
        <f>F273*100/H274</f>
        <v>0</v>
      </c>
      <c r="H273" s="99" t="s">
        <v>165</v>
      </c>
      <c r="I273" s="100" t="s">
        <v>166</v>
      </c>
      <c r="J273" s="93"/>
      <c r="K273" s="93"/>
      <c r="L273" s="93"/>
    </row>
    <row r="274" spans="1:12" s="43" customFormat="1" ht="19.5" thickBot="1" x14ac:dyDescent="0.35">
      <c r="A274" s="6" t="s">
        <v>168</v>
      </c>
      <c r="B274" s="6"/>
      <c r="C274" s="6"/>
      <c r="D274" s="6"/>
      <c r="E274" s="6"/>
      <c r="F274" s="97">
        <f>F254+G254+H254+I254+J254+K254+F264+G264+H264+I264+J264+K264</f>
        <v>185950</v>
      </c>
      <c r="G274" s="98">
        <f>F274*100/H274</f>
        <v>57.694694384114179</v>
      </c>
      <c r="H274" s="101">
        <f>F273+F274+F275+F276+F277</f>
        <v>322300</v>
      </c>
      <c r="I274" s="102">
        <f>H274/K399</f>
        <v>7325</v>
      </c>
      <c r="J274" s="93"/>
      <c r="K274" s="103">
        <f>H274-K258-K268</f>
        <v>313004</v>
      </c>
      <c r="L274" s="93"/>
    </row>
    <row r="275" spans="1:12" s="43" customFormat="1" ht="18.75" x14ac:dyDescent="0.3">
      <c r="A275" s="6" t="s">
        <v>223</v>
      </c>
      <c r="B275" s="6"/>
      <c r="C275" s="6"/>
      <c r="D275" s="6"/>
      <c r="E275" s="6"/>
      <c r="F275" s="97">
        <f>F255+G255+H255+I255+J255+K255+F265+G265+H265+I265+J265+K265</f>
        <v>0</v>
      </c>
      <c r="G275" s="98">
        <f>F275*100/H274</f>
        <v>0</v>
      </c>
      <c r="J275" s="93"/>
      <c r="K275" s="93"/>
      <c r="L275" s="93"/>
    </row>
    <row r="276" spans="1:12" s="43" customFormat="1" ht="18.75" x14ac:dyDescent="0.3">
      <c r="A276" s="6" t="s">
        <v>226</v>
      </c>
      <c r="B276" s="6"/>
      <c r="C276" s="6"/>
      <c r="D276" s="6"/>
      <c r="E276" s="6"/>
      <c r="F276" s="97">
        <f>F257+G257+H257+I257+J257+K257+F267+G267+H267+I267+J267+K267</f>
        <v>110400</v>
      </c>
      <c r="G276" s="98">
        <f>F276*100/H274</f>
        <v>34.253800806701832</v>
      </c>
      <c r="H276" s="104" t="s">
        <v>177</v>
      </c>
      <c r="J276" s="93"/>
      <c r="K276" s="93"/>
      <c r="L276" s="93"/>
    </row>
    <row r="277" spans="1:12" s="43" customFormat="1" ht="18.75" x14ac:dyDescent="0.3">
      <c r="A277" s="6" t="s">
        <v>11</v>
      </c>
      <c r="B277" s="6"/>
      <c r="C277" s="6"/>
      <c r="D277" s="6"/>
      <c r="E277" s="6"/>
      <c r="F277" s="97">
        <f>F256+G256+H256+I256+J256+K256+F266+G266+H266+I266+J266+K266</f>
        <v>25950</v>
      </c>
      <c r="G277" s="98">
        <f>F277*100/H274</f>
        <v>8.0515048091839905</v>
      </c>
      <c r="H277" s="97">
        <f>G273+G274+G275+G276+G277</f>
        <v>100</v>
      </c>
      <c r="J277" s="93"/>
      <c r="K277" s="93"/>
      <c r="L277" s="93"/>
    </row>
    <row r="278" spans="1:12" s="43" customFormat="1" x14ac:dyDescent="0.2">
      <c r="J278" s="93"/>
      <c r="K278" s="93"/>
      <c r="L278" s="93"/>
    </row>
    <row r="279" spans="1:12" s="43" customFormat="1" ht="20.25" x14ac:dyDescent="0.3">
      <c r="A279" s="44" t="s">
        <v>124</v>
      </c>
      <c r="I279" s="93"/>
      <c r="K279" s="93"/>
      <c r="L279" s="93"/>
    </row>
    <row r="280" spans="1:12" s="43" customFormat="1" x14ac:dyDescent="0.2">
      <c r="J280" s="93"/>
      <c r="K280" s="93"/>
      <c r="L280" s="93"/>
    </row>
    <row r="281" spans="1:12" s="43" customFormat="1" ht="20.25" x14ac:dyDescent="0.3">
      <c r="A281" s="44" t="s">
        <v>80</v>
      </c>
      <c r="I281" s="105"/>
      <c r="J281" s="93"/>
      <c r="K281" s="93"/>
      <c r="L281" s="93"/>
    </row>
    <row r="282" spans="1:12" s="43" customFormat="1" ht="20.25" thickBot="1" x14ac:dyDescent="0.4">
      <c r="A282" s="95" t="s">
        <v>81</v>
      </c>
      <c r="F282" s="95" t="s">
        <v>139</v>
      </c>
      <c r="G282" s="94" t="s">
        <v>153</v>
      </c>
      <c r="H282" s="94"/>
      <c r="J282" s="95" t="s">
        <v>122</v>
      </c>
      <c r="K282" s="93"/>
      <c r="L282" s="93"/>
    </row>
    <row r="283" spans="1:12" s="43" customFormat="1" ht="19.5" thickBot="1" x14ac:dyDescent="0.35">
      <c r="A283" s="69" t="s">
        <v>217</v>
      </c>
      <c r="B283" s="69"/>
      <c r="C283" s="69"/>
      <c r="D283" s="69"/>
      <c r="F283" s="40">
        <f>F7+G7+H7+I7+J7+K7+F8+G8+H8+I8+J8+K8+F9+G9+H9+I9+J9+K9+F93+G93+H93+I93+J93+K93+F94+G94+H94+I94+J94+K94+F95+G95+H95+I95+J95+K95</f>
        <v>810911</v>
      </c>
      <c r="G283" s="75">
        <f>F283*100/J283</f>
        <v>2.8371974303377363</v>
      </c>
      <c r="H283" s="40"/>
      <c r="J283" s="106">
        <f>F90+G90+H90+I90+J90+K90+F171+G171+H171+I171+J171+K171+F258+G258+H258+I258+J258+K258+F268+G268+H268+I268+J268+K268</f>
        <v>28581408.939999998</v>
      </c>
      <c r="K283" s="93"/>
      <c r="L283" s="93"/>
    </row>
    <row r="284" spans="1:12" s="43" customFormat="1" ht="19.5" x14ac:dyDescent="0.35">
      <c r="A284" s="69" t="s">
        <v>228</v>
      </c>
      <c r="F284" s="40">
        <f>F26+G26+H26+I26+J26+K26+F27+G27+H27+I27+J27+K27+F28+G28+H28+I28+J28+K28+F109+G109+H109+I109+J109+K109+F110+G110+H110+I110+J110+K110+F111+G111+H111+I111+J111+K111</f>
        <v>1015432</v>
      </c>
      <c r="G284" s="75">
        <f>F284*100/J283</f>
        <v>3.5527709712689903</v>
      </c>
      <c r="H284" s="40"/>
      <c r="J284" s="95"/>
      <c r="K284" s="93"/>
      <c r="L284" s="93"/>
    </row>
    <row r="285" spans="1:12" s="43" customFormat="1" ht="19.5" x14ac:dyDescent="0.35">
      <c r="A285" s="69" t="s">
        <v>186</v>
      </c>
      <c r="B285" s="69"/>
      <c r="C285" s="69"/>
      <c r="D285" s="69"/>
      <c r="F285" s="40">
        <f>F10+G10+H10+I10+J10+K10+F11+G11+H11+I11+J11+K11+F12+G12+H12+I12+J12+K12+F13+G13+H13+I13+J13+K13+F96+G96+H96+I96+J96+K96+F97+G97+H97+I97+J97+K97+F98+G98+H98+I98+J98+K98+F99+G99+H99+I99+J99+K99</f>
        <v>667828</v>
      </c>
      <c r="G285" s="75">
        <f>F285*100/J283</f>
        <v>2.336581801834714</v>
      </c>
      <c r="H285" s="40"/>
      <c r="J285" s="95"/>
      <c r="K285" s="133"/>
      <c r="L285" s="93"/>
    </row>
    <row r="286" spans="1:12" s="43" customFormat="1" ht="18.75" x14ac:dyDescent="0.3">
      <c r="A286" s="69" t="s">
        <v>212</v>
      </c>
      <c r="B286" s="69"/>
      <c r="C286" s="69"/>
      <c r="D286" s="69"/>
      <c r="F286" s="40">
        <f>F14+G14+H14+I14+J14+K14+F15+G15+H15+I15+J15+K15+F16+G16+H16+I16+J16+K16+F100+G100+H100+I100+J100+K100+F101+G101+H101+I101+J101+K101+F102+G102+H102+I102+J102+K102</f>
        <v>609406</v>
      </c>
      <c r="G286" s="75">
        <f>F286*100/J283</f>
        <v>2.1321762033470981</v>
      </c>
      <c r="H286" s="40"/>
      <c r="J286" s="135"/>
      <c r="K286" s="93"/>
    </row>
    <row r="287" spans="1:12" s="43" customFormat="1" ht="18.75" x14ac:dyDescent="0.3">
      <c r="A287" s="69" t="s">
        <v>265</v>
      </c>
      <c r="B287" s="69"/>
      <c r="C287" s="69"/>
      <c r="D287" s="69"/>
      <c r="F287" s="40">
        <f>F17+G17+H17+I17+J17+K17+F18+G18+H18+I18+J18+K18+F19+G19+H19+I19+J19+K19+F103+G103+H103+I103+J103+K103+F104+G104+H104+I104+J104+K104+F105+G105+H105+I105+J105+K105</f>
        <v>584915</v>
      </c>
      <c r="G287" s="75">
        <f>F287*100/J283</f>
        <v>2.0464876354692403</v>
      </c>
      <c r="H287" s="40"/>
      <c r="L287" s="93"/>
    </row>
    <row r="288" spans="1:12" s="43" customFormat="1" ht="18.75" x14ac:dyDescent="0.3">
      <c r="A288" s="69" t="s">
        <v>229</v>
      </c>
      <c r="B288" s="58"/>
      <c r="C288" s="58"/>
      <c r="D288" s="58"/>
      <c r="E288" s="58"/>
      <c r="F288" s="40">
        <f>F20+G20+H20+I20+J20+K20+F21+G21+H21+I21+J21+K21+F22+G22+H22+I22+J22+K22+F106+G106+H106+I106+J106+K106+F107+G107+H107+I107+J107+K107+F108+G108+H108+I108+J108+K108</f>
        <v>878338</v>
      </c>
      <c r="G288" s="75">
        <f>F288*100/J283</f>
        <v>3.0731095232004333</v>
      </c>
      <c r="H288" s="40"/>
      <c r="L288" s="93"/>
    </row>
    <row r="289" spans="1:12" s="43" customFormat="1" ht="18.75" x14ac:dyDescent="0.3">
      <c r="A289" s="69" t="s">
        <v>312</v>
      </c>
      <c r="B289" s="69"/>
      <c r="C289" s="69"/>
      <c r="D289" s="69"/>
      <c r="F289" s="40">
        <f>F23+G23+H23+I23+J23+K23+F24+G24+H24+I24+J24+K24+F112+G112+H112+I112+J112+K112+F113+G113+H113+I113+J113+K113+F114+G114+H114+I114+J114+K114+F26</f>
        <v>356887</v>
      </c>
      <c r="G289" s="75">
        <f>F289*100/J283</f>
        <v>1.2486683240465892</v>
      </c>
      <c r="H289" s="40"/>
      <c r="L289" s="93"/>
    </row>
    <row r="290" spans="1:12" s="43" customFormat="1" ht="18.75" x14ac:dyDescent="0.3">
      <c r="A290" s="62" t="s">
        <v>313</v>
      </c>
      <c r="B290" s="62"/>
      <c r="C290" s="62"/>
      <c r="D290" s="62"/>
      <c r="E290" s="62"/>
      <c r="F290" s="40">
        <f>F41+G41+H41+I41+J41+K41+F42+G42+H42+I42+J42+K42+F43+G43+H43+I43+J43+K43+F127+G127+H127+I127+J127+K127+F128+G128+H128+I128+J128+K128+F129+G129+H129+I129+J129+K129</f>
        <v>341613</v>
      </c>
      <c r="G290" s="75">
        <f>F290*100/J283</f>
        <v>1.1952279914441475</v>
      </c>
      <c r="H290" s="40"/>
      <c r="L290" s="93"/>
    </row>
    <row r="291" spans="1:12" s="43" customFormat="1" ht="18.75" x14ac:dyDescent="0.3">
      <c r="A291" s="62" t="s">
        <v>314</v>
      </c>
      <c r="B291" s="62"/>
      <c r="C291" s="62"/>
      <c r="D291" s="62"/>
      <c r="E291" s="62"/>
      <c r="F291" s="40">
        <f>F115+G115+H115+I115+J115+K115+F116+G116+H116+I116+J116+K116+F117+G117+H117+I117+J117+K117</f>
        <v>143118</v>
      </c>
      <c r="G291" s="75">
        <f>F291*100/J283</f>
        <v>0.5007380857271343</v>
      </c>
      <c r="H291" s="40"/>
      <c r="L291" s="93"/>
    </row>
    <row r="292" spans="1:12" s="43" customFormat="1" ht="18.75" x14ac:dyDescent="0.3">
      <c r="A292" s="69" t="s">
        <v>73</v>
      </c>
      <c r="B292" s="69"/>
      <c r="C292" s="69"/>
      <c r="D292" s="69"/>
      <c r="F292" s="40">
        <f>F29+G29+H29+I29+J29+K29+F30+G30+H30+I30+J30+K30+F31+G31+H31+I31+J31+K31+F118+G118+H118+I118+J118+K118+F119+G119+H119+I119+J119+K119+F120+G120+H120+I120+J120+K120</f>
        <v>652338</v>
      </c>
      <c r="G292" s="75">
        <f>F292*100/J283</f>
        <v>2.2823857332206101</v>
      </c>
      <c r="H292" s="40"/>
      <c r="L292" s="93"/>
    </row>
    <row r="293" spans="1:12" s="43" customFormat="1" ht="18.75" x14ac:dyDescent="0.3">
      <c r="A293" s="69" t="s">
        <v>220</v>
      </c>
      <c r="B293" s="69"/>
      <c r="C293" s="69"/>
      <c r="D293" s="69"/>
      <c r="F293" s="40">
        <f>F32+G32+H32+I32+J32+K32+F33+G33+H33+I33+J33+K33+F34+G34+H34+I34+J34+K34+F121+G121+H121+I121+J121+K121+F122+G122+H122+I122+J122+K122+F123+G123+H123+I123+J123+K123</f>
        <v>647415</v>
      </c>
      <c r="G293" s="75">
        <f>F293*100/J283</f>
        <v>2.2651612499548111</v>
      </c>
      <c r="H293" s="40"/>
    </row>
    <row r="294" spans="1:12" s="43" customFormat="1" ht="18.75" x14ac:dyDescent="0.3">
      <c r="A294" s="69" t="s">
        <v>194</v>
      </c>
      <c r="B294" s="110"/>
      <c r="C294" s="110"/>
      <c r="D294" s="110"/>
      <c r="E294" s="110"/>
      <c r="F294" s="40">
        <f>F35+G35+H35+I35+J35+K35+F36+G36+H36+I36+J36+K36+F37+G37+H37+I37+J37+K37+F124+G124+H124+I124+J124+K124+F125+G125+H125+I125+J125+K125+F126+G126+H126+I126+J126+K126</f>
        <v>588700</v>
      </c>
      <c r="G294" s="75">
        <f>F294*100/J283</f>
        <v>2.0597305095624865</v>
      </c>
      <c r="H294" s="40"/>
      <c r="L294" s="93"/>
    </row>
    <row r="295" spans="1:12" s="43" customFormat="1" ht="19.5" thickBot="1" x14ac:dyDescent="0.35">
      <c r="A295" s="69" t="s">
        <v>317</v>
      </c>
      <c r="B295" s="110"/>
      <c r="C295" s="110"/>
      <c r="D295" s="110"/>
      <c r="E295" s="110"/>
      <c r="F295" s="40">
        <f>K133</f>
        <v>20000</v>
      </c>
      <c r="G295" s="75">
        <f>F295*100/J283</f>
        <v>6.9975556635382588E-2</v>
      </c>
      <c r="H295" s="40"/>
      <c r="L295" s="93"/>
    </row>
    <row r="296" spans="1:12" s="43" customFormat="1" ht="20.25" thickBot="1" x14ac:dyDescent="0.4">
      <c r="A296" s="112" t="s">
        <v>75</v>
      </c>
      <c r="B296" s="112"/>
      <c r="C296" s="69"/>
      <c r="D296" s="69"/>
      <c r="F296" s="39">
        <f>SUM(F283:F295)</f>
        <v>7316901</v>
      </c>
      <c r="G296" s="113">
        <f>SUM(G283:G295)</f>
        <v>25.600211016049379</v>
      </c>
      <c r="L296" s="93"/>
    </row>
    <row r="297" spans="1:12" s="43" customFormat="1" x14ac:dyDescent="0.2">
      <c r="L297" s="93"/>
    </row>
    <row r="298" spans="1:12" s="43" customFormat="1" ht="19.5" x14ac:dyDescent="0.35">
      <c r="A298" s="95" t="s">
        <v>84</v>
      </c>
      <c r="F298" s="40"/>
      <c r="G298" s="75"/>
      <c r="H298" s="75"/>
      <c r="J298" s="93"/>
      <c r="K298" s="93"/>
      <c r="L298" s="93"/>
    </row>
    <row r="299" spans="1:12" s="43" customFormat="1" ht="18.75" x14ac:dyDescent="0.3">
      <c r="A299" s="62" t="s">
        <v>278</v>
      </c>
      <c r="B299" s="110"/>
      <c r="C299" s="110"/>
      <c r="D299" s="110"/>
      <c r="E299" s="110"/>
      <c r="F299" s="40">
        <f>F46+G46+H46+I46+J46+K46+F47+G47+H47+I47+J47+K47</f>
        <v>60229</v>
      </c>
      <c r="G299" s="75">
        <f>F299*100/J283</f>
        <v>0.21072789002962289</v>
      </c>
      <c r="H299" s="40"/>
      <c r="J299" s="93"/>
      <c r="K299" s="93"/>
      <c r="L299" s="93"/>
    </row>
    <row r="300" spans="1:12" s="43" customFormat="1" ht="18.75" x14ac:dyDescent="0.3">
      <c r="A300" s="69" t="s">
        <v>192</v>
      </c>
      <c r="B300" s="110"/>
      <c r="C300" s="110"/>
      <c r="D300" s="110"/>
      <c r="E300" s="110"/>
      <c r="F300" s="40">
        <f>F48+G48+H48+I48+J48+K48+F49+G49+H49+I49+J49+K49</f>
        <v>0</v>
      </c>
      <c r="G300" s="75">
        <f>F300*100/J283</f>
        <v>0</v>
      </c>
      <c r="H300" s="40"/>
      <c r="J300" s="93"/>
      <c r="K300" s="93"/>
      <c r="L300" s="93"/>
    </row>
    <row r="301" spans="1:12" s="43" customFormat="1" ht="18.75" x14ac:dyDescent="0.3">
      <c r="A301" s="62" t="s">
        <v>279</v>
      </c>
      <c r="B301" s="62"/>
      <c r="C301" s="62"/>
      <c r="D301" s="62"/>
      <c r="E301" s="62"/>
      <c r="F301" s="40">
        <f>F130+G130+H130+I130+J130+K130+F131+G131+H131+I131+J131+K131+F132+G132+H132+I132+J132+K132</f>
        <v>280264</v>
      </c>
      <c r="G301" s="75">
        <f>F301*100/J283</f>
        <v>0.98058147024294329</v>
      </c>
      <c r="H301" s="40"/>
      <c r="J301" s="93"/>
      <c r="K301" s="93"/>
      <c r="L301" s="93"/>
    </row>
    <row r="302" spans="1:12" s="43" customFormat="1" ht="19.5" thickBot="1" x14ac:dyDescent="0.35">
      <c r="A302" s="69" t="s">
        <v>280</v>
      </c>
      <c r="B302" s="110"/>
      <c r="C302" s="110"/>
      <c r="D302" s="110"/>
      <c r="E302" s="110"/>
      <c r="F302" s="40">
        <f>F38+G38+H38+I38+J38+K38+F39+G39+H39+I39+J39+K39+F40+G40+H40+I40+J40+K40</f>
        <v>249657</v>
      </c>
      <c r="G302" s="75">
        <f>F302*100/J283</f>
        <v>0.87349437714598555</v>
      </c>
      <c r="H302" s="40"/>
      <c r="J302" s="93"/>
      <c r="K302" s="93"/>
      <c r="L302" s="93"/>
    </row>
    <row r="303" spans="1:12" s="43" customFormat="1" ht="20.25" thickBot="1" x14ac:dyDescent="0.4">
      <c r="A303" s="112" t="s">
        <v>86</v>
      </c>
      <c r="B303" s="112"/>
      <c r="C303" s="69"/>
      <c r="D303" s="69"/>
      <c r="F303" s="39">
        <f>SUM(F299:F302)</f>
        <v>590150</v>
      </c>
      <c r="G303" s="39">
        <f>SUM(G299:G302)</f>
        <v>2.0648037374185515</v>
      </c>
      <c r="J303" s="93"/>
      <c r="K303" s="93"/>
      <c r="L303" s="93"/>
    </row>
    <row r="304" spans="1:12" s="43" customFormat="1" ht="19.5" x14ac:dyDescent="0.35">
      <c r="A304" s="112"/>
      <c r="B304" s="112"/>
      <c r="C304" s="69"/>
      <c r="D304" s="69"/>
      <c r="F304" s="111"/>
      <c r="G304" s="111">
        <f>+F303*100/J283</f>
        <v>2.0648037374185515</v>
      </c>
      <c r="H304" s="111"/>
      <c r="J304" s="93"/>
      <c r="K304" s="93"/>
      <c r="L304" s="93"/>
    </row>
    <row r="305" spans="1:12" s="43" customFormat="1" ht="19.5" x14ac:dyDescent="0.35">
      <c r="A305" s="95" t="s">
        <v>85</v>
      </c>
      <c r="B305" s="95"/>
      <c r="C305" s="114"/>
      <c r="D305" s="114"/>
      <c r="E305" s="115"/>
      <c r="F305" s="40"/>
      <c r="G305" s="75"/>
      <c r="H305" s="75"/>
      <c r="J305" s="93"/>
      <c r="K305" s="93"/>
      <c r="L305" s="93"/>
    </row>
    <row r="306" spans="1:12" s="43" customFormat="1" ht="18.75" x14ac:dyDescent="0.3">
      <c r="A306" s="69" t="s">
        <v>76</v>
      </c>
      <c r="B306" s="69"/>
      <c r="C306" s="69"/>
      <c r="D306" s="69"/>
      <c r="F306" s="40">
        <f>F52+G52+H52+I52+J52+K52+F135+G135+H135+I135+J135+K135</f>
        <v>3539507</v>
      </c>
      <c r="G306" s="75">
        <f>F306*100/J283</f>
        <v>12.383948626991655</v>
      </c>
      <c r="H306" s="40"/>
      <c r="J306" s="93"/>
      <c r="K306" s="93"/>
      <c r="L306" s="93"/>
    </row>
    <row r="307" spans="1:12" s="43" customFormat="1" ht="18.75" x14ac:dyDescent="0.3">
      <c r="A307" s="69" t="s">
        <v>77</v>
      </c>
      <c r="B307" s="69"/>
      <c r="C307" s="69"/>
      <c r="D307" s="69"/>
      <c r="F307" s="40">
        <f>F53+G53+H53+I53+J53+K53+F136+G136+H136+I136+J136+K136</f>
        <v>207007</v>
      </c>
      <c r="G307" s="75">
        <f>F307*100/J283</f>
        <v>0.72427150262103213</v>
      </c>
      <c r="H307" s="40"/>
      <c r="J307" s="93"/>
      <c r="K307" s="93"/>
      <c r="L307" s="93"/>
    </row>
    <row r="308" spans="1:12" s="43" customFormat="1" ht="18.75" x14ac:dyDescent="0.3">
      <c r="A308" s="69" t="s">
        <v>78</v>
      </c>
      <c r="B308" s="69"/>
      <c r="C308" s="69"/>
      <c r="D308" s="69"/>
      <c r="F308" s="40">
        <f>F50+G50+H50+I50+J50+K50+F134+G134+H134+I134+J134+K134</f>
        <v>779893</v>
      </c>
      <c r="G308" s="75">
        <f>F308*100/J283</f>
        <v>2.7286723395519217</v>
      </c>
      <c r="H308" s="40"/>
      <c r="J308" s="93"/>
      <c r="K308" s="93"/>
      <c r="L308" s="93"/>
    </row>
    <row r="309" spans="1:12" s="43" customFormat="1" ht="18.75" x14ac:dyDescent="0.3">
      <c r="A309" s="69" t="s">
        <v>79</v>
      </c>
      <c r="B309" s="69"/>
      <c r="C309" s="69"/>
      <c r="D309" s="69"/>
      <c r="F309" s="40">
        <f>F54+G54+H54+I54+J54+K54+F140+G140+H140+I140+J140+K140</f>
        <v>43062.69</v>
      </c>
      <c r="G309" s="75">
        <f>F309*100/J283</f>
        <v>0.15066678514834617</v>
      </c>
      <c r="H309" s="40"/>
      <c r="J309" s="93"/>
      <c r="K309" s="93"/>
      <c r="L309" s="93"/>
    </row>
    <row r="310" spans="1:12" s="43" customFormat="1" ht="19.5" thickBot="1" x14ac:dyDescent="0.35">
      <c r="A310" s="69" t="s">
        <v>82</v>
      </c>
      <c r="B310" s="69"/>
      <c r="C310" s="69"/>
      <c r="D310" s="69"/>
      <c r="F310" s="40">
        <f>F55+G55+H55+I55+J55+K55</f>
        <v>10934</v>
      </c>
      <c r="G310" s="75">
        <f>F310*100/J283</f>
        <v>3.8255636812563658E-2</v>
      </c>
      <c r="H310" s="75"/>
      <c r="J310" s="93"/>
      <c r="K310" s="93"/>
      <c r="L310" s="93"/>
    </row>
    <row r="311" spans="1:12" s="43" customFormat="1" ht="20.25" thickBot="1" x14ac:dyDescent="0.4">
      <c r="A311" s="116" t="s">
        <v>87</v>
      </c>
      <c r="B311" s="112"/>
      <c r="C311" s="112"/>
      <c r="D311" s="112"/>
      <c r="E311" s="117"/>
      <c r="F311" s="39">
        <f>SUM(F306:F310)</f>
        <v>4580403.6900000004</v>
      </c>
      <c r="G311" s="113">
        <f>SUM(G306:G310)</f>
        <v>16.02581489112552</v>
      </c>
      <c r="J311" s="93"/>
      <c r="K311" s="93"/>
      <c r="L311" s="93"/>
    </row>
    <row r="312" spans="1:12" s="43" customFormat="1" ht="20.25" thickBot="1" x14ac:dyDescent="0.4">
      <c r="A312" s="112" t="s">
        <v>83</v>
      </c>
      <c r="B312" s="69"/>
      <c r="C312" s="69"/>
      <c r="D312" s="69"/>
      <c r="F312" s="106">
        <f>F296+F303+F311</f>
        <v>12487454.690000001</v>
      </c>
      <c r="G312" s="113">
        <f>G296+G303+G311</f>
        <v>43.69082964459345</v>
      </c>
      <c r="J312" s="93"/>
      <c r="K312" s="93"/>
      <c r="L312" s="93"/>
    </row>
    <row r="313" spans="1:12" s="43" customFormat="1" ht="19.5" x14ac:dyDescent="0.35">
      <c r="A313" s="112"/>
      <c r="B313" s="69"/>
      <c r="C313" s="69"/>
      <c r="D313" s="69"/>
      <c r="F313" s="111"/>
      <c r="G313" s="40">
        <f>+F312*100/J283</f>
        <v>43.69082964459345</v>
      </c>
      <c r="H313" s="75"/>
      <c r="J313" s="93"/>
      <c r="K313" s="93"/>
      <c r="L313" s="93"/>
    </row>
    <row r="314" spans="1:12" s="43" customFormat="1" ht="20.25" x14ac:dyDescent="0.3">
      <c r="A314" s="44" t="s">
        <v>88</v>
      </c>
      <c r="H314" s="75"/>
      <c r="J314" s="93"/>
      <c r="K314" s="93"/>
      <c r="L314" s="93"/>
    </row>
    <row r="315" spans="1:12" s="43" customFormat="1" ht="18.75" x14ac:dyDescent="0.3">
      <c r="A315" s="69" t="s">
        <v>89</v>
      </c>
      <c r="B315" s="118"/>
      <c r="C315" s="118"/>
      <c r="D315" s="118"/>
      <c r="F315" s="40">
        <f>F64+G64+H64+I64+J64+K64+F147+G147+H147+I147+J147+K147</f>
        <v>5550000</v>
      </c>
      <c r="G315" s="75">
        <f>F315*100/J283</f>
        <v>19.418216966318667</v>
      </c>
      <c r="H315" s="40"/>
      <c r="J315" s="93"/>
      <c r="K315" s="93"/>
      <c r="L315" s="93"/>
    </row>
    <row r="316" spans="1:12" s="43" customFormat="1" ht="19.5" thickBot="1" x14ac:dyDescent="0.35">
      <c r="A316" s="69" t="s">
        <v>90</v>
      </c>
      <c r="B316" s="118"/>
      <c r="C316" s="118"/>
      <c r="D316" s="118"/>
      <c r="F316" s="40">
        <f>F65+G65+H65+I65+J65+K65+F148+G148+H148+I148+J148+K148</f>
        <v>1221000</v>
      </c>
      <c r="G316" s="75">
        <f>F316*100/J283</f>
        <v>4.2720077325901071</v>
      </c>
      <c r="H316" s="40"/>
      <c r="J316" s="93"/>
      <c r="K316" s="93"/>
      <c r="L316" s="93"/>
    </row>
    <row r="317" spans="1:12" s="43" customFormat="1" ht="20.25" thickBot="1" x14ac:dyDescent="0.4">
      <c r="A317" s="112" t="s">
        <v>117</v>
      </c>
      <c r="B317" s="119"/>
      <c r="C317" s="119"/>
      <c r="D317" s="119"/>
      <c r="E317" s="120"/>
      <c r="F317" s="113">
        <f>F315+F316</f>
        <v>6771000</v>
      </c>
      <c r="G317" s="113">
        <f>G315+G316</f>
        <v>23.690224698908775</v>
      </c>
      <c r="J317" s="93"/>
      <c r="K317" s="93"/>
      <c r="L317" s="93"/>
    </row>
    <row r="318" spans="1:12" s="43" customFormat="1" ht="18.75" x14ac:dyDescent="0.3">
      <c r="A318" s="69"/>
      <c r="B318" s="118"/>
      <c r="C318" s="118"/>
      <c r="D318" s="118"/>
      <c r="H318" s="75"/>
      <c r="J318" s="93"/>
      <c r="K318" s="93"/>
      <c r="L318" s="93"/>
    </row>
    <row r="319" spans="1:12" s="43" customFormat="1" ht="20.25" x14ac:dyDescent="0.3">
      <c r="A319" s="44" t="s">
        <v>91</v>
      </c>
      <c r="B319" s="118"/>
      <c r="C319" s="118"/>
      <c r="D319" s="118"/>
      <c r="H319" s="75"/>
      <c r="J319" s="93"/>
      <c r="K319" s="93"/>
      <c r="L319" s="93"/>
    </row>
    <row r="320" spans="1:12" s="43" customFormat="1" ht="19.5" x14ac:dyDescent="0.35">
      <c r="A320" s="95" t="s">
        <v>97</v>
      </c>
      <c r="B320" s="118"/>
      <c r="C320" s="118"/>
      <c r="D320" s="118"/>
      <c r="H320" s="75"/>
      <c r="J320" s="93"/>
      <c r="K320" s="93"/>
      <c r="L320" s="93"/>
    </row>
    <row r="321" spans="1:12" s="43" customFormat="1" ht="18.75" x14ac:dyDescent="0.3">
      <c r="A321" s="69" t="s">
        <v>92</v>
      </c>
      <c r="B321" s="118"/>
      <c r="C321" s="118"/>
      <c r="D321" s="118"/>
      <c r="F321" s="40">
        <f>F56+G56+H56+I56+J56+K56+F137+G137+H137+I137+J137+K137</f>
        <v>836040</v>
      </c>
      <c r="G321" s="75">
        <f>F321*100/J283</f>
        <v>2.9251182184722628</v>
      </c>
      <c r="H321" s="40"/>
      <c r="J321" s="93"/>
      <c r="K321" s="93"/>
      <c r="L321" s="93"/>
    </row>
    <row r="322" spans="1:12" s="43" customFormat="1" ht="18.75" x14ac:dyDescent="0.3">
      <c r="A322" s="69" t="s">
        <v>93</v>
      </c>
      <c r="B322" s="118"/>
      <c r="C322" s="118"/>
      <c r="D322" s="118"/>
      <c r="F322" s="40">
        <f>F58+G58+H58+I58+J58+K58+F139+G139+H139+I139+J139+K139</f>
        <v>3330851.71</v>
      </c>
      <c r="G322" s="75">
        <f>F322*100/J283</f>
        <v>11.653910123858296</v>
      </c>
      <c r="H322" s="40"/>
      <c r="J322" s="93"/>
      <c r="K322" s="93"/>
      <c r="L322" s="93"/>
    </row>
    <row r="323" spans="1:12" s="43" customFormat="1" ht="19.5" thickBot="1" x14ac:dyDescent="0.35">
      <c r="A323" s="69" t="s">
        <v>94</v>
      </c>
      <c r="B323" s="118"/>
      <c r="C323" s="118"/>
      <c r="D323" s="118"/>
      <c r="F323" s="40">
        <f>F57+G57+H57+I57+J57+K57+F138+G138+H138+I138+J138+K138</f>
        <v>214326</v>
      </c>
      <c r="G323" s="75">
        <f>F323*100/J283</f>
        <v>0.74987905757175044</v>
      </c>
      <c r="H323" s="40"/>
      <c r="J323" s="93"/>
      <c r="K323" s="93"/>
      <c r="L323" s="93"/>
    </row>
    <row r="324" spans="1:12" s="43" customFormat="1" ht="20.25" thickBot="1" x14ac:dyDescent="0.4">
      <c r="A324" s="112" t="s">
        <v>96</v>
      </c>
      <c r="B324" s="69"/>
      <c r="C324" s="69"/>
      <c r="D324" s="69"/>
      <c r="F324" s="39">
        <f>F321+F322+F323</f>
        <v>4381217.71</v>
      </c>
      <c r="G324" s="113">
        <f>G321+G322+G323</f>
        <v>15.32890739990231</v>
      </c>
      <c r="J324" s="93"/>
      <c r="K324" s="93"/>
      <c r="L324" s="93"/>
    </row>
    <row r="325" spans="1:12" s="43" customFormat="1" ht="19.5" x14ac:dyDescent="0.35">
      <c r="A325" s="95" t="s">
        <v>148</v>
      </c>
      <c r="B325" s="114"/>
      <c r="C325" s="114"/>
      <c r="D325" s="114"/>
      <c r="E325" s="115"/>
      <c r="F325" s="111"/>
      <c r="H325" s="75"/>
      <c r="J325" s="93"/>
      <c r="K325" s="93"/>
      <c r="L325" s="93"/>
    </row>
    <row r="326" spans="1:12" s="43" customFormat="1" ht="18.75" x14ac:dyDescent="0.3">
      <c r="A326" s="69" t="s">
        <v>98</v>
      </c>
      <c r="B326" s="69"/>
      <c r="C326" s="69"/>
      <c r="D326" s="69"/>
      <c r="F326" s="121">
        <f>F51+G51+H51+I51+J51+K51+F141+G141+H141+I141+J141+K141</f>
        <v>248609.67</v>
      </c>
      <c r="G326" s="75">
        <f>F326*100/J283</f>
        <v>0.86983000215943873</v>
      </c>
      <c r="H326" s="40"/>
      <c r="J326" s="93"/>
      <c r="K326" s="93"/>
      <c r="L326" s="93"/>
    </row>
    <row r="327" spans="1:12" s="43" customFormat="1" ht="18.75" x14ac:dyDescent="0.3">
      <c r="A327" s="69" t="s">
        <v>101</v>
      </c>
      <c r="B327" s="69"/>
      <c r="C327" s="69"/>
      <c r="D327" s="69"/>
      <c r="F327" s="121">
        <f>F63+G63+H63+I63+J63+K63+F146+G146+H146+I146+J146+K146</f>
        <v>11124.43</v>
      </c>
      <c r="G327" s="75">
        <f>F327*100/J283</f>
        <v>3.8921909075067457E-2</v>
      </c>
      <c r="H327" s="40"/>
      <c r="J327" s="93"/>
      <c r="K327" s="93"/>
      <c r="L327" s="93"/>
    </row>
    <row r="328" spans="1:12" s="43" customFormat="1" ht="18.75" x14ac:dyDescent="0.3">
      <c r="A328" s="69" t="s">
        <v>102</v>
      </c>
      <c r="B328" s="69"/>
      <c r="C328" s="69"/>
      <c r="D328" s="69"/>
      <c r="F328" s="121">
        <f>F66+G66+H66+I66+J66+K66+F150+G150+H150+I150+J150+K150</f>
        <v>272372</v>
      </c>
      <c r="G328" s="75">
        <f>F328*100/J283</f>
        <v>0.95296911559462127</v>
      </c>
      <c r="H328" s="40"/>
      <c r="J328" s="93"/>
      <c r="K328" s="93"/>
      <c r="L328" s="93"/>
    </row>
    <row r="329" spans="1:12" s="43" customFormat="1" ht="18.75" x14ac:dyDescent="0.3">
      <c r="A329" s="69" t="s">
        <v>31</v>
      </c>
      <c r="B329" s="69"/>
      <c r="C329" s="69"/>
      <c r="D329" s="69"/>
      <c r="E329" s="110"/>
      <c r="F329" s="121">
        <f>F59+G59+H59+I59+J59+K59+F142+G142+H142+I142+J142+K142</f>
        <v>0</v>
      </c>
      <c r="G329" s="75">
        <f>F329*100/J283</f>
        <v>0</v>
      </c>
      <c r="H329" s="40"/>
      <c r="J329" s="93"/>
      <c r="K329" s="93"/>
      <c r="L329" s="93"/>
    </row>
    <row r="330" spans="1:12" s="43" customFormat="1" ht="18.75" x14ac:dyDescent="0.3">
      <c r="A330" s="69" t="s">
        <v>104</v>
      </c>
      <c r="B330" s="69"/>
      <c r="C330" s="69"/>
      <c r="D330" s="69"/>
      <c r="F330" s="121">
        <f>F73+G73+H73+I73+J73+K73+F156+G156+H156+I156+J156+K156</f>
        <v>219400</v>
      </c>
      <c r="G330" s="75">
        <f>F330*100/J283</f>
        <v>0.76763185629014696</v>
      </c>
      <c r="H330" s="40"/>
      <c r="J330" s="93"/>
      <c r="K330" s="93"/>
      <c r="L330" s="93"/>
    </row>
    <row r="331" spans="1:12" s="43" customFormat="1" ht="18.75" x14ac:dyDescent="0.3">
      <c r="A331" s="69" t="s">
        <v>105</v>
      </c>
      <c r="B331" s="69"/>
      <c r="C331" s="69"/>
      <c r="D331" s="69"/>
      <c r="F331" s="121">
        <f>F74+G74+H74+I74+J74+K74+F157+G157+H157+I157+J157+K157</f>
        <v>209081.24</v>
      </c>
      <c r="G331" s="75">
        <f>F331*100/J283</f>
        <v>0.73152880755080096</v>
      </c>
      <c r="H331" s="40"/>
      <c r="J331" s="93"/>
      <c r="K331" s="93"/>
      <c r="L331" s="93"/>
    </row>
    <row r="332" spans="1:12" s="43" customFormat="1" ht="18.75" x14ac:dyDescent="0.3">
      <c r="A332" s="69" t="s">
        <v>41</v>
      </c>
      <c r="B332" s="69"/>
      <c r="C332" s="69"/>
      <c r="D332" s="69"/>
      <c r="F332" s="121">
        <f>F75+G75+H75+I75+J75+K75+F158+G158+H158+I158+J158+K158</f>
        <v>604766.92000000004</v>
      </c>
      <c r="G332" s="75">
        <f>F332*100/J283</f>
        <v>2.1159450930832948</v>
      </c>
      <c r="H332" s="40"/>
      <c r="J332" s="93"/>
      <c r="K332" s="93"/>
      <c r="L332" s="93"/>
    </row>
    <row r="333" spans="1:12" s="43" customFormat="1" ht="18.75" x14ac:dyDescent="0.3">
      <c r="A333" s="69" t="s">
        <v>213</v>
      </c>
      <c r="B333" s="69"/>
      <c r="C333" s="69"/>
      <c r="D333" s="69"/>
      <c r="F333" s="121">
        <f>F77+G77+H77+I77+J77+K77+F167+G167+H167+I167+J167+K167</f>
        <v>0</v>
      </c>
      <c r="G333" s="75">
        <f>F333*100/J283</f>
        <v>0</v>
      </c>
      <c r="H333" s="40"/>
      <c r="J333" s="93"/>
      <c r="K333" s="93"/>
      <c r="L333" s="93"/>
    </row>
    <row r="334" spans="1:12" s="43" customFormat="1" ht="18.75" x14ac:dyDescent="0.3">
      <c r="A334" s="69" t="s">
        <v>108</v>
      </c>
      <c r="B334" s="69"/>
      <c r="C334" s="69"/>
      <c r="D334" s="69"/>
      <c r="F334" s="121">
        <f>F79+G79+H79+I79+J79+K79+F165+G165+H165+I165+J165+K165</f>
        <v>177804.9</v>
      </c>
      <c r="G334" s="75">
        <f>F334*100/J283</f>
        <v>0.62209984249992689</v>
      </c>
      <c r="H334" s="40"/>
      <c r="J334" s="93"/>
      <c r="K334" s="93"/>
      <c r="L334" s="93"/>
    </row>
    <row r="335" spans="1:12" s="43" customFormat="1" ht="18.75" x14ac:dyDescent="0.3">
      <c r="A335" s="69" t="s">
        <v>47</v>
      </c>
      <c r="B335" s="69"/>
      <c r="C335" s="69"/>
      <c r="D335" s="69"/>
      <c r="F335" s="121">
        <f>F81+G81+H81+I81+J81+K81+F160+G160+H160+I160+J160+K160</f>
        <v>27100</v>
      </c>
      <c r="G335" s="75">
        <f>F335*100/J283</f>
        <v>9.4816879240943411E-2</v>
      </c>
      <c r="H335" s="40"/>
      <c r="J335" s="93"/>
      <c r="K335" s="93"/>
      <c r="L335" s="93"/>
    </row>
    <row r="336" spans="1:12" s="43" customFormat="1" ht="19.5" thickBot="1" x14ac:dyDescent="0.35">
      <c r="A336" s="69" t="s">
        <v>48</v>
      </c>
      <c r="B336" s="69"/>
      <c r="C336" s="69"/>
      <c r="D336" s="69"/>
      <c r="F336" s="121">
        <f>F82+G82+H82+I82+J82+K82+F161+G161+H161+I161+J161+K161</f>
        <v>159396</v>
      </c>
      <c r="G336" s="75">
        <f>F336*100/J283</f>
        <v>0.55769119127267208</v>
      </c>
      <c r="H336" s="40"/>
      <c r="J336" s="93"/>
      <c r="K336" s="93"/>
      <c r="L336" s="93"/>
    </row>
    <row r="337" spans="1:12" s="43" customFormat="1" ht="20.25" thickBot="1" x14ac:dyDescent="0.4">
      <c r="A337" s="112" t="s">
        <v>118</v>
      </c>
      <c r="B337" s="69"/>
      <c r="C337" s="69"/>
      <c r="D337" s="69"/>
      <c r="F337" s="39">
        <f>SUM(F326:F336)</f>
        <v>1929655.16</v>
      </c>
      <c r="G337" s="113">
        <f>SUM(G326:G336)</f>
        <v>6.7514346967669141</v>
      </c>
      <c r="J337" s="93"/>
      <c r="K337" s="93"/>
      <c r="L337" s="93"/>
    </row>
    <row r="338" spans="1:12" s="43" customFormat="1" ht="20.25" thickBot="1" x14ac:dyDescent="0.4">
      <c r="A338" s="112" t="s">
        <v>95</v>
      </c>
      <c r="B338" s="69"/>
      <c r="C338" s="69"/>
      <c r="D338" s="69"/>
      <c r="F338" s="39">
        <f>F324+F337</f>
        <v>6310872.8700000001</v>
      </c>
      <c r="G338" s="113">
        <f>G324+G337</f>
        <v>22.080342096669224</v>
      </c>
      <c r="J338" s="93"/>
      <c r="K338" s="93"/>
      <c r="L338" s="93"/>
    </row>
    <row r="339" spans="1:12" s="43" customFormat="1" ht="19.5" x14ac:dyDescent="0.35">
      <c r="A339" s="112"/>
      <c r="B339" s="69"/>
      <c r="C339" s="69"/>
      <c r="D339" s="69"/>
      <c r="F339" s="111"/>
      <c r="H339" s="75"/>
      <c r="J339" s="93"/>
      <c r="K339" s="93"/>
      <c r="L339" s="93"/>
    </row>
    <row r="340" spans="1:12" s="43" customFormat="1" ht="20.25" x14ac:dyDescent="0.3">
      <c r="A340" s="44" t="s">
        <v>99</v>
      </c>
      <c r="B340" s="69"/>
      <c r="C340" s="69"/>
      <c r="D340" s="69"/>
      <c r="F340" s="121"/>
      <c r="H340" s="75"/>
      <c r="J340" s="93"/>
      <c r="K340" s="93"/>
      <c r="L340" s="93"/>
    </row>
    <row r="341" spans="1:12" s="43" customFormat="1" ht="18.75" x14ac:dyDescent="0.3">
      <c r="A341" s="69" t="s">
        <v>109</v>
      </c>
      <c r="B341" s="69"/>
      <c r="C341" s="69"/>
      <c r="D341" s="69"/>
      <c r="F341" s="121">
        <f>F60+G60+H60+I60+J60+K60+F143+G143+H143+I143+J143+K143</f>
        <v>637537</v>
      </c>
      <c r="G341" s="75">
        <f>F341*100/J283</f>
        <v>2.2306003225325952</v>
      </c>
      <c r="H341" s="40"/>
      <c r="J341" s="93"/>
      <c r="K341" s="93"/>
      <c r="L341" s="93"/>
    </row>
    <row r="342" spans="1:12" s="43" customFormat="1" ht="18.75" x14ac:dyDescent="0.3">
      <c r="A342" s="69" t="s">
        <v>100</v>
      </c>
      <c r="B342" s="69"/>
      <c r="C342" s="69"/>
      <c r="D342" s="69"/>
      <c r="E342" s="120"/>
      <c r="F342" s="121">
        <f>F62+G62+H62+I62+J62+K62+F145+G145+H145+I145+J145+K145</f>
        <v>78570</v>
      </c>
      <c r="G342" s="75">
        <f>F342*100/J283</f>
        <v>0.27489897424210047</v>
      </c>
      <c r="H342" s="40"/>
      <c r="J342" s="93"/>
      <c r="K342" s="93"/>
      <c r="L342" s="93"/>
    </row>
    <row r="343" spans="1:12" s="43" customFormat="1" ht="18.75" x14ac:dyDescent="0.3">
      <c r="A343" s="69" t="s">
        <v>103</v>
      </c>
      <c r="B343" s="69"/>
      <c r="C343" s="69"/>
      <c r="D343" s="69"/>
      <c r="E343" s="120"/>
      <c r="F343" s="121">
        <f>F67+G67+H67+I67+J67+K67+F151+G151+H151+I151+J151+K151</f>
        <v>157500</v>
      </c>
      <c r="G343" s="75">
        <f>F343*100/J283</f>
        <v>0.55105750850363788</v>
      </c>
      <c r="H343" s="40"/>
      <c r="J343" s="93"/>
      <c r="K343" s="93"/>
      <c r="L343" s="93"/>
    </row>
    <row r="344" spans="1:12" s="43" customFormat="1" ht="18.75" x14ac:dyDescent="0.3">
      <c r="A344" s="69" t="s">
        <v>39</v>
      </c>
      <c r="F344" s="40">
        <f>F72+G72+H72+I72+J72+K72+F155+G155+H155+I155+J155+K155</f>
        <v>107412.6</v>
      </c>
      <c r="G344" s="75">
        <f>F344*100/J283</f>
        <v>0.37581282373268476</v>
      </c>
      <c r="H344" s="40"/>
      <c r="J344" s="93"/>
      <c r="K344" s="93"/>
      <c r="L344" s="93"/>
    </row>
    <row r="345" spans="1:12" s="43" customFormat="1" ht="18.75" x14ac:dyDescent="0.3">
      <c r="A345" s="69" t="s">
        <v>106</v>
      </c>
      <c r="B345" s="69"/>
      <c r="C345" s="69"/>
      <c r="D345" s="69"/>
      <c r="E345" s="110"/>
      <c r="F345" s="121">
        <f>F76+G76+H76+I76+J76+K76+F159+G159+H159+I159+J159+K159</f>
        <v>106420</v>
      </c>
      <c r="G345" s="75">
        <f>F345*100/J283</f>
        <v>0.37233993685687072</v>
      </c>
      <c r="H345" s="40"/>
      <c r="J345" s="93"/>
      <c r="K345" s="93"/>
      <c r="L345" s="93"/>
    </row>
    <row r="346" spans="1:12" s="43" customFormat="1" ht="18.75" x14ac:dyDescent="0.3">
      <c r="A346" s="69" t="s">
        <v>107</v>
      </c>
      <c r="B346" s="69"/>
      <c r="C346" s="69"/>
      <c r="D346" s="69"/>
      <c r="E346" s="110"/>
      <c r="F346" s="121">
        <f>F78+G78+H78+I78+J78+K78+F163+G163+H163+I163+J163+K163</f>
        <v>12000</v>
      </c>
      <c r="G346" s="75">
        <f>F346*100/J283</f>
        <v>4.1985333981229549E-2</v>
      </c>
      <c r="H346" s="40"/>
      <c r="J346" s="93"/>
      <c r="K346" s="93"/>
      <c r="L346" s="93"/>
    </row>
    <row r="347" spans="1:12" s="43" customFormat="1" ht="18.75" x14ac:dyDescent="0.3">
      <c r="A347" s="69" t="s">
        <v>238</v>
      </c>
      <c r="B347" s="69"/>
      <c r="C347" s="69"/>
      <c r="D347" s="69"/>
      <c r="E347" s="110"/>
      <c r="F347" s="121">
        <f>F83+G83+H83+I83+J83+K83</f>
        <v>213892</v>
      </c>
      <c r="G347" s="75">
        <f>F347*100/J283</f>
        <v>0.74836058799276262</v>
      </c>
      <c r="H347" s="40"/>
      <c r="J347" s="93"/>
      <c r="K347" s="93"/>
      <c r="L347" s="93"/>
    </row>
    <row r="348" spans="1:12" s="43" customFormat="1" ht="18.75" x14ac:dyDescent="0.3">
      <c r="A348" s="69" t="s">
        <v>143</v>
      </c>
      <c r="B348" s="69"/>
      <c r="C348" s="69"/>
      <c r="D348" s="69"/>
      <c r="E348" s="110"/>
      <c r="F348" s="121">
        <f>F86+G86+H86+I86+J86+K86+F164+G164+H164+I164+J164+K164</f>
        <v>263300</v>
      </c>
      <c r="G348" s="75">
        <f>F348*100/J283</f>
        <v>0.92122820310481179</v>
      </c>
      <c r="H348" s="40"/>
      <c r="J348" s="93"/>
      <c r="K348" s="93"/>
      <c r="L348" s="93"/>
    </row>
    <row r="349" spans="1:12" s="43" customFormat="1" ht="18.75" x14ac:dyDescent="0.3">
      <c r="A349" s="69" t="s">
        <v>110</v>
      </c>
      <c r="B349" s="69"/>
      <c r="C349" s="69"/>
      <c r="D349" s="69"/>
      <c r="E349" s="110"/>
      <c r="F349" s="121">
        <f>F84+G84+H84+I84+J84+K84+F162+G162+H162+I162+J162+K162</f>
        <v>0</v>
      </c>
      <c r="G349" s="75">
        <f>F349*100/J283</f>
        <v>0</v>
      </c>
      <c r="H349" s="40"/>
      <c r="J349" s="93"/>
      <c r="K349" s="93"/>
      <c r="L349" s="93"/>
    </row>
    <row r="350" spans="1:12" s="43" customFormat="1" ht="18.75" x14ac:dyDescent="0.3">
      <c r="A350" s="69" t="s">
        <v>272</v>
      </c>
      <c r="B350" s="69"/>
      <c r="C350" s="69"/>
      <c r="D350" s="69"/>
      <c r="E350" s="110"/>
      <c r="F350" s="121">
        <f>+SUM(F149:K149)+SUM(F80:K80)</f>
        <v>5100</v>
      </c>
      <c r="G350" s="75">
        <f>F350*100/J283</f>
        <v>1.7843766942022561E-2</v>
      </c>
      <c r="H350" s="40"/>
      <c r="J350" s="93"/>
      <c r="K350" s="93"/>
      <c r="L350" s="93"/>
    </row>
    <row r="351" spans="1:12" s="43" customFormat="1" ht="18.75" x14ac:dyDescent="0.3">
      <c r="A351" s="69" t="s">
        <v>150</v>
      </c>
      <c r="B351" s="69"/>
      <c r="C351" s="69"/>
      <c r="D351" s="69"/>
      <c r="E351" s="110"/>
      <c r="F351" s="121">
        <f>F170+G170+H170+I170+J170+K170</f>
        <v>0</v>
      </c>
      <c r="G351" s="75">
        <f>F351*100/J283</f>
        <v>0</v>
      </c>
      <c r="H351" s="40"/>
      <c r="J351" s="93"/>
      <c r="K351" s="93"/>
      <c r="L351" s="93"/>
    </row>
    <row r="352" spans="1:12" s="43" customFormat="1" ht="19.5" thickBot="1" x14ac:dyDescent="0.35">
      <c r="A352" s="69" t="s">
        <v>281</v>
      </c>
      <c r="B352" s="118"/>
      <c r="C352" s="118"/>
      <c r="D352" s="118"/>
      <c r="F352" s="40">
        <f>F85+G85+H85+I85+J85+K85+F168+G168+H168+I168+J168+K168</f>
        <v>469146.01</v>
      </c>
      <c r="G352" s="75">
        <f>F352*100/J283</f>
        <v>1.6414376596509384</v>
      </c>
      <c r="H352" s="40"/>
      <c r="J352" s="93"/>
      <c r="K352" s="93"/>
      <c r="L352" s="93"/>
    </row>
    <row r="353" spans="1:19" s="43" customFormat="1" ht="20.25" thickBot="1" x14ac:dyDescent="0.4">
      <c r="A353" s="112" t="s">
        <v>119</v>
      </c>
      <c r="B353" s="118"/>
      <c r="C353" s="118"/>
      <c r="D353" s="118"/>
      <c r="F353" s="39">
        <f>SUM(F341:F352)</f>
        <v>2050877.61</v>
      </c>
      <c r="G353" s="113">
        <f>SUM(G341:G352)</f>
        <v>7.1755651175396542</v>
      </c>
      <c r="H353" s="75"/>
      <c r="J353" s="93"/>
      <c r="K353" s="93"/>
      <c r="L353" s="93"/>
    </row>
    <row r="354" spans="1:19" s="43" customFormat="1" ht="18.75" x14ac:dyDescent="0.3">
      <c r="A354" s="69"/>
      <c r="B354" s="118"/>
      <c r="C354" s="118"/>
      <c r="D354" s="118"/>
      <c r="F354" s="40"/>
      <c r="H354" s="75"/>
      <c r="J354" s="93"/>
      <c r="K354" s="93"/>
      <c r="L354" s="93"/>
    </row>
    <row r="355" spans="1:19" s="43" customFormat="1" ht="20.25" x14ac:dyDescent="0.3">
      <c r="A355" s="44" t="s">
        <v>111</v>
      </c>
      <c r="B355" s="118"/>
      <c r="C355" s="118"/>
      <c r="D355" s="118"/>
      <c r="F355" s="40"/>
      <c r="H355" s="75"/>
      <c r="J355" s="93"/>
      <c r="K355" s="93"/>
      <c r="L355" s="93"/>
    </row>
    <row r="356" spans="1:19" s="43" customFormat="1" ht="19.5" thickBot="1" x14ac:dyDescent="0.35">
      <c r="A356" s="69" t="s">
        <v>112</v>
      </c>
      <c r="B356" s="118"/>
      <c r="C356" s="118"/>
      <c r="D356" s="118"/>
      <c r="F356" s="40">
        <f>F61+G61+H61+I61+J61+K61+F144+G144+H144+I144+J144+K144</f>
        <v>38098.629999999997</v>
      </c>
      <c r="G356" s="75">
        <f>F356*100/J283</f>
        <v>0.13329864206477429</v>
      </c>
      <c r="H356" s="40"/>
      <c r="J356" s="93"/>
      <c r="K356" s="93"/>
      <c r="L356" s="93"/>
    </row>
    <row r="357" spans="1:19" s="43" customFormat="1" ht="20.25" thickBot="1" x14ac:dyDescent="0.4">
      <c r="A357" s="112" t="s">
        <v>113</v>
      </c>
      <c r="B357" s="119"/>
      <c r="C357" s="119"/>
      <c r="D357" s="119"/>
      <c r="E357" s="120"/>
      <c r="F357" s="39">
        <f>SUM(F356:F356)</f>
        <v>38098.629999999997</v>
      </c>
      <c r="G357" s="113">
        <f>SUM(G356)</f>
        <v>0.13329864206477429</v>
      </c>
      <c r="H357" s="75"/>
      <c r="J357" s="93"/>
      <c r="K357" s="93"/>
      <c r="L357" s="93"/>
    </row>
    <row r="358" spans="1:19" s="43" customFormat="1" ht="19.5" x14ac:dyDescent="0.35">
      <c r="A358" s="112"/>
      <c r="B358" s="119"/>
      <c r="C358" s="119"/>
      <c r="D358" s="119"/>
      <c r="E358" s="120"/>
      <c r="F358" s="111"/>
      <c r="H358" s="75"/>
      <c r="J358" s="93"/>
      <c r="K358" s="93"/>
      <c r="L358" s="93"/>
    </row>
    <row r="359" spans="1:19" s="43" customFormat="1" ht="20.25" x14ac:dyDescent="0.3">
      <c r="A359" s="44" t="s">
        <v>116</v>
      </c>
      <c r="B359" s="119"/>
      <c r="C359" s="119"/>
      <c r="D359" s="119"/>
      <c r="E359" s="120"/>
      <c r="F359" s="111"/>
      <c r="H359" s="75"/>
      <c r="J359" s="93"/>
      <c r="K359" s="93"/>
      <c r="L359" s="93"/>
    </row>
    <row r="360" spans="1:19" s="43" customFormat="1" ht="18.75" x14ac:dyDescent="0.3">
      <c r="A360" s="69" t="s">
        <v>225</v>
      </c>
      <c r="B360" s="119"/>
      <c r="C360" s="119"/>
      <c r="D360" s="119"/>
      <c r="E360" s="120"/>
      <c r="F360" s="134">
        <f>+SUM(F268:K268)+SUM(F258:K258)</f>
        <v>184064</v>
      </c>
      <c r="G360" s="40">
        <f>+F360*100/J283</f>
        <v>0.64399904282675302</v>
      </c>
      <c r="H360" s="40"/>
      <c r="J360" s="93"/>
      <c r="K360" s="93"/>
      <c r="L360" s="93"/>
    </row>
    <row r="361" spans="1:19" s="43" customFormat="1" ht="19.5" thickBot="1" x14ac:dyDescent="0.35">
      <c r="A361" s="69" t="s">
        <v>146</v>
      </c>
      <c r="B361" s="119"/>
      <c r="C361" s="119"/>
      <c r="D361" s="119"/>
      <c r="E361" s="120"/>
      <c r="F361" s="121">
        <f>F88+G88+H88+I88+J88+K88+F166+G166+H166+I166+J166+K166</f>
        <v>248223.14</v>
      </c>
      <c r="G361" s="75">
        <f>F361*100/J283</f>
        <v>0.86847761956412506</v>
      </c>
      <c r="H361" s="40"/>
      <c r="J361" s="93"/>
      <c r="K361" s="93"/>
      <c r="L361" s="93"/>
    </row>
    <row r="362" spans="1:19" s="43" customFormat="1" ht="20.25" thickBot="1" x14ac:dyDescent="0.4">
      <c r="A362" s="112" t="s">
        <v>120</v>
      </c>
      <c r="B362" s="119"/>
      <c r="C362" s="119"/>
      <c r="D362" s="119"/>
      <c r="E362" s="120"/>
      <c r="F362" s="39">
        <f>SUM(F360:F361)</f>
        <v>432287.14</v>
      </c>
      <c r="G362" s="113">
        <f>SUM(G360:G361)</f>
        <v>1.5124766623908781</v>
      </c>
      <c r="H362" s="75"/>
      <c r="J362" s="93"/>
      <c r="K362" s="93"/>
      <c r="L362" s="93"/>
    </row>
    <row r="363" spans="1:19" s="43" customFormat="1" ht="18.75" x14ac:dyDescent="0.3">
      <c r="A363" s="69"/>
      <c r="B363" s="119"/>
      <c r="C363" s="119"/>
      <c r="D363" s="119"/>
      <c r="E363" s="120"/>
      <c r="F363" s="111"/>
      <c r="H363" s="75"/>
      <c r="J363" s="93"/>
      <c r="K363" s="93"/>
      <c r="L363" s="93"/>
    </row>
    <row r="364" spans="1:19" s="43" customFormat="1" ht="20.25" x14ac:dyDescent="0.3">
      <c r="A364" s="44" t="s">
        <v>115</v>
      </c>
      <c r="B364" s="119"/>
      <c r="C364" s="119"/>
      <c r="D364" s="119"/>
      <c r="E364" s="120"/>
      <c r="F364" s="111"/>
      <c r="H364" s="75"/>
      <c r="J364" s="93"/>
      <c r="K364" s="93"/>
      <c r="L364" s="93"/>
    </row>
    <row r="365" spans="1:19" s="43" customFormat="1" ht="18.75" x14ac:dyDescent="0.3">
      <c r="A365" s="69" t="s">
        <v>114</v>
      </c>
      <c r="B365" s="119"/>
      <c r="C365" s="119"/>
      <c r="D365" s="119"/>
      <c r="E365" s="120"/>
      <c r="F365" s="121">
        <f>F68+G68+H68+I68+J68+K68+F152+G152+H152+I152+J152+K152</f>
        <v>0</v>
      </c>
      <c r="G365" s="75">
        <f>F365*100/J283</f>
        <v>0</v>
      </c>
      <c r="H365" s="40"/>
      <c r="J365" s="93"/>
      <c r="K365" s="93"/>
      <c r="L365" s="93"/>
    </row>
    <row r="366" spans="1:19" s="43" customFormat="1" ht="18.75" x14ac:dyDescent="0.3">
      <c r="A366" s="69" t="s">
        <v>202</v>
      </c>
      <c r="B366" s="119"/>
      <c r="C366" s="119"/>
      <c r="D366" s="119"/>
      <c r="E366" s="120"/>
      <c r="F366" s="121">
        <f>F69+G69+H69+I69+J69+K69+F153+G153+H153+I153+J153+K153</f>
        <v>119250</v>
      </c>
      <c r="G366" s="75">
        <f>F366*100/J283</f>
        <v>0.41722925643846864</v>
      </c>
      <c r="H366" s="40"/>
      <c r="J366" s="93"/>
      <c r="K366" s="93"/>
      <c r="L366" s="93"/>
      <c r="S366" s="40"/>
    </row>
    <row r="367" spans="1:19" s="43" customFormat="1" ht="18.75" x14ac:dyDescent="0.3">
      <c r="A367" s="69" t="s">
        <v>201</v>
      </c>
      <c r="B367" s="119"/>
      <c r="C367" s="119"/>
      <c r="D367" s="119"/>
      <c r="E367" s="120"/>
      <c r="F367" s="121">
        <f>F70+G70+H70+I70+J70+K70+F154+G154+H154+I154+J154+K154</f>
        <v>0</v>
      </c>
      <c r="G367" s="75">
        <f>F367*100/J283</f>
        <v>0</v>
      </c>
      <c r="H367" s="40"/>
      <c r="J367" s="93"/>
      <c r="K367" s="93"/>
      <c r="L367" s="93"/>
    </row>
    <row r="368" spans="1:19" s="43" customFormat="1" ht="18.75" x14ac:dyDescent="0.3">
      <c r="A368" s="69" t="s">
        <v>200</v>
      </c>
      <c r="B368" s="119"/>
      <c r="C368" s="119"/>
      <c r="D368" s="119"/>
      <c r="E368" s="120"/>
      <c r="F368" s="121">
        <f>F71+G71+H71+I71+J71+K71</f>
        <v>0</v>
      </c>
      <c r="G368" s="75">
        <f>F368*100/J283</f>
        <v>0</v>
      </c>
      <c r="H368" s="40"/>
      <c r="J368" s="93"/>
      <c r="K368" s="93"/>
      <c r="L368" s="93"/>
    </row>
    <row r="369" spans="1:14" s="43" customFormat="1" ht="19.5" thickBot="1" x14ac:dyDescent="0.35">
      <c r="A369" s="69" t="s">
        <v>169</v>
      </c>
      <c r="B369" s="119"/>
      <c r="C369" s="119"/>
      <c r="D369" s="119"/>
      <c r="E369" s="120"/>
      <c r="F369" s="121">
        <f>F87+G87+H87+I87+J87+K87+F169+G169+H169+I169+J169+K169</f>
        <v>177110</v>
      </c>
      <c r="G369" s="75">
        <f>F369*100/J283</f>
        <v>0.61966854178463049</v>
      </c>
      <c r="H369" s="40"/>
      <c r="J369" s="93"/>
      <c r="K369" s="93"/>
      <c r="L369" s="93"/>
    </row>
    <row r="370" spans="1:14" s="43" customFormat="1" ht="20.25" thickBot="1" x14ac:dyDescent="0.4">
      <c r="A370" s="112" t="s">
        <v>121</v>
      </c>
      <c r="B370" s="119"/>
      <c r="C370" s="119"/>
      <c r="D370" s="119"/>
      <c r="E370" s="120"/>
      <c r="F370" s="39">
        <f>SUM(F365:F369)</f>
        <v>296360</v>
      </c>
      <c r="G370" s="39">
        <f>SUM(G365:G369)</f>
        <v>1.0368977982230991</v>
      </c>
      <c r="H370" s="75"/>
      <c r="J370" s="93"/>
      <c r="K370" s="93"/>
      <c r="L370" s="93"/>
    </row>
    <row r="371" spans="1:14" s="43" customFormat="1" ht="20.25" thickBot="1" x14ac:dyDescent="0.4">
      <c r="A371" s="112"/>
      <c r="B371" s="119"/>
      <c r="C371" s="119"/>
      <c r="D371" s="119"/>
      <c r="E371" s="120"/>
      <c r="F371" s="111"/>
      <c r="J371" s="93"/>
      <c r="K371" s="93"/>
      <c r="L371" s="93"/>
    </row>
    <row r="372" spans="1:14" s="43" customFormat="1" ht="20.25" thickBot="1" x14ac:dyDescent="0.4">
      <c r="A372" s="95" t="s">
        <v>123</v>
      </c>
      <c r="B372" s="119"/>
      <c r="C372" s="119"/>
      <c r="D372" s="119"/>
      <c r="E372" s="120"/>
      <c r="F372" s="106">
        <f>+F370+F362+F357+F353+F338+F317+F312</f>
        <v>28386950.940000001</v>
      </c>
      <c r="G372" s="113">
        <v>100</v>
      </c>
      <c r="H372" s="75"/>
      <c r="I372" s="75"/>
      <c r="J372" s="75"/>
      <c r="K372" s="119"/>
      <c r="L372" s="119"/>
      <c r="M372" s="119"/>
      <c r="N372" s="120"/>
    </row>
    <row r="373" spans="1:14" s="43" customFormat="1" ht="19.5" x14ac:dyDescent="0.35">
      <c r="A373" s="95"/>
      <c r="B373" s="119"/>
      <c r="C373" s="119"/>
      <c r="D373" s="119"/>
      <c r="E373" s="120"/>
      <c r="F373" s="111"/>
      <c r="J373" s="93"/>
      <c r="K373" s="93"/>
      <c r="L373" s="93"/>
    </row>
    <row r="374" spans="1:14" s="43" customFormat="1" ht="20.25" x14ac:dyDescent="0.3">
      <c r="A374" s="44" t="s">
        <v>125</v>
      </c>
      <c r="I374" s="93"/>
      <c r="K374" s="93"/>
      <c r="L374" s="93"/>
    </row>
    <row r="375" spans="1:14" s="43" customFormat="1" ht="19.5" x14ac:dyDescent="0.35">
      <c r="A375" s="95"/>
      <c r="B375" s="119"/>
      <c r="C375" s="119"/>
      <c r="D375" s="119"/>
      <c r="E375" s="120"/>
      <c r="F375" s="111"/>
      <c r="J375" s="93"/>
      <c r="K375" s="93"/>
      <c r="L375" s="93"/>
    </row>
    <row r="376" spans="1:14" s="43" customFormat="1" ht="21.75" thickBot="1" x14ac:dyDescent="0.4">
      <c r="A376" s="44" t="s">
        <v>141</v>
      </c>
      <c r="B376" s="119"/>
      <c r="C376" s="119"/>
      <c r="D376" s="119"/>
      <c r="E376" s="120"/>
      <c r="F376" s="111"/>
      <c r="G376" s="94" t="s">
        <v>153</v>
      </c>
      <c r="H376" s="94" t="s">
        <v>154</v>
      </c>
      <c r="J376" s="95" t="s">
        <v>132</v>
      </c>
      <c r="K376" s="93"/>
    </row>
    <row r="377" spans="1:14" s="43" customFormat="1" ht="19.5" thickBot="1" x14ac:dyDescent="0.35">
      <c r="A377" s="62" t="s">
        <v>54</v>
      </c>
      <c r="B377" s="62"/>
      <c r="C377" s="62"/>
      <c r="D377" s="62"/>
      <c r="E377" s="62"/>
      <c r="F377" s="121">
        <f>F176+G176+H176+I176+J176+K176+F214+G214+H214+I214+J214+K214</f>
        <v>3480</v>
      </c>
      <c r="G377" s="75">
        <f>F377*100/J377</f>
        <v>1.2561464092062244</v>
      </c>
      <c r="H377" s="75">
        <f>F377*100/J380</f>
        <v>10.211836927528235</v>
      </c>
      <c r="J377" s="39">
        <f>F197+G197+H197+I197+J197+K197+F216+G216+H216+I216+J216+K216</f>
        <v>277037.77000000008</v>
      </c>
      <c r="K377" s="93"/>
      <c r="L377" s="93"/>
    </row>
    <row r="378" spans="1:14" s="43" customFormat="1" ht="18.75" x14ac:dyDescent="0.3">
      <c r="A378" s="62" t="s">
        <v>55</v>
      </c>
      <c r="B378" s="62"/>
      <c r="C378" s="62"/>
      <c r="D378" s="62"/>
      <c r="E378" s="62"/>
      <c r="F378" s="121">
        <f>F177+G177+H177+I177+J177+K177</f>
        <v>0</v>
      </c>
      <c r="G378" s="75">
        <f>F378*100/J377</f>
        <v>0</v>
      </c>
      <c r="H378" s="75">
        <f>F378*100/J380</f>
        <v>0</v>
      </c>
      <c r="J378" s="93"/>
      <c r="K378" s="93"/>
      <c r="L378" s="93"/>
    </row>
    <row r="379" spans="1:14" s="43" customFormat="1" ht="20.25" thickBot="1" x14ac:dyDescent="0.4">
      <c r="A379" s="62" t="s">
        <v>175</v>
      </c>
      <c r="B379" s="62"/>
      <c r="C379" s="62"/>
      <c r="D379" s="62"/>
      <c r="E379" s="62"/>
      <c r="F379" s="121">
        <f>F213+G213+H213+I213+J213+K213+F208</f>
        <v>0</v>
      </c>
      <c r="G379" s="75">
        <f>F379*100/J377</f>
        <v>0</v>
      </c>
      <c r="H379" s="75">
        <f>F379*100/J380</f>
        <v>0</v>
      </c>
      <c r="J379" s="95" t="s">
        <v>155</v>
      </c>
      <c r="K379" s="93"/>
      <c r="L379" s="93"/>
    </row>
    <row r="380" spans="1:14" s="43" customFormat="1" ht="19.5" thickBot="1" x14ac:dyDescent="0.35">
      <c r="A380" s="62" t="s">
        <v>145</v>
      </c>
      <c r="B380" s="62"/>
      <c r="C380" s="62"/>
      <c r="D380" s="62"/>
      <c r="E380" s="62"/>
      <c r="F380" s="121">
        <f>F178+G178+H178+I178+J178+K178+F206+G206+H206+I206+J206+K206</f>
        <v>9247.64</v>
      </c>
      <c r="G380" s="75">
        <f>F380*100/J377</f>
        <v>3.3380430401240946</v>
      </c>
      <c r="H380" s="75">
        <f>F380*100/J380</f>
        <v>27.136606794392875</v>
      </c>
      <c r="J380" s="39">
        <f>F406-F394-F395-F402-F403</f>
        <v>34078.100000000006</v>
      </c>
      <c r="K380" s="93"/>
      <c r="L380" s="93"/>
    </row>
    <row r="381" spans="1:14" s="43" customFormat="1" ht="18.75" x14ac:dyDescent="0.3">
      <c r="A381" s="62" t="s">
        <v>285</v>
      </c>
      <c r="B381" s="62"/>
      <c r="C381" s="62"/>
      <c r="D381" s="62"/>
      <c r="E381" s="62"/>
      <c r="F381" s="121">
        <f>G207</f>
        <v>0</v>
      </c>
      <c r="G381" s="75">
        <f>F381*100/J377</f>
        <v>0</v>
      </c>
      <c r="H381" s="75">
        <f>F381*100/J380</f>
        <v>0</v>
      </c>
      <c r="L381" s="93"/>
    </row>
    <row r="382" spans="1:14" s="43" customFormat="1" ht="19.5" thickBot="1" x14ac:dyDescent="0.35">
      <c r="A382" s="62" t="s">
        <v>57</v>
      </c>
      <c r="B382" s="62"/>
      <c r="C382" s="62"/>
      <c r="D382" s="62"/>
      <c r="E382" s="62"/>
      <c r="F382" s="121">
        <f>F184+G184+H184+I184+J184+K184</f>
        <v>0</v>
      </c>
      <c r="G382" s="75">
        <f>F382*100/J377</f>
        <v>0</v>
      </c>
      <c r="H382" s="75">
        <f>F382*100/J380</f>
        <v>0</v>
      </c>
      <c r="I382" s="107" t="s">
        <v>161</v>
      </c>
      <c r="K382" s="93"/>
      <c r="L382" s="93"/>
    </row>
    <row r="383" spans="1:14" s="43" customFormat="1" ht="21" thickBot="1" x14ac:dyDescent="0.35">
      <c r="A383" s="62" t="s">
        <v>58</v>
      </c>
      <c r="B383" s="62"/>
      <c r="C383" s="62"/>
      <c r="D383" s="62"/>
      <c r="E383" s="62"/>
      <c r="F383" s="121">
        <f>F186+G186+H186+I186+J186+K186</f>
        <v>0</v>
      </c>
      <c r="G383" s="75">
        <f>F383*100/J377</f>
        <v>0</v>
      </c>
      <c r="H383" s="75">
        <f>F383*100/J380</f>
        <v>0</v>
      </c>
      <c r="J383" s="122">
        <f>F378+F380+F384+F385</f>
        <v>15872.64</v>
      </c>
      <c r="K383" s="108" t="s">
        <v>162</v>
      </c>
      <c r="L383" s="93"/>
    </row>
    <row r="384" spans="1:14" s="43" customFormat="1" ht="19.5" thickBot="1" x14ac:dyDescent="0.35">
      <c r="A384" s="62" t="s">
        <v>204</v>
      </c>
      <c r="B384" s="62"/>
      <c r="C384" s="62"/>
      <c r="D384" s="62"/>
      <c r="E384" s="62"/>
      <c r="F384" s="121">
        <f>F187+G187+H187+I187+J187+K187</f>
        <v>0</v>
      </c>
      <c r="G384" s="75">
        <f>F384*100/J377</f>
        <v>0</v>
      </c>
      <c r="H384" s="75">
        <f>F384*100/J380</f>
        <v>0</v>
      </c>
      <c r="J384" s="93"/>
      <c r="K384" s="102">
        <f>J383*100/J377</f>
        <v>5.7294137185698526</v>
      </c>
      <c r="L384" s="93"/>
    </row>
    <row r="385" spans="1:12" s="43" customFormat="1" ht="18.75" x14ac:dyDescent="0.3">
      <c r="A385" s="62" t="s">
        <v>205</v>
      </c>
      <c r="B385" s="62"/>
      <c r="C385" s="62"/>
      <c r="D385" s="62"/>
      <c r="E385" s="62"/>
      <c r="F385" s="121">
        <f>F183+G183+H183+I183+J183+K183</f>
        <v>6625</v>
      </c>
      <c r="G385" s="75">
        <f>F385*100/J377</f>
        <v>2.391370678445758</v>
      </c>
      <c r="H385" s="75">
        <f>F385*100/J380</f>
        <v>19.44063782898694</v>
      </c>
      <c r="J385" s="93"/>
      <c r="K385" s="109"/>
      <c r="L385" s="93"/>
    </row>
    <row r="386" spans="1:12" s="43" customFormat="1" ht="19.5" thickBot="1" x14ac:dyDescent="0.35">
      <c r="A386" s="62" t="s">
        <v>59</v>
      </c>
      <c r="B386" s="62"/>
      <c r="C386" s="62"/>
      <c r="D386" s="62"/>
      <c r="E386" s="62"/>
      <c r="F386" s="121">
        <f>F188+G188+H188+I188+J188+K188</f>
        <v>14525</v>
      </c>
      <c r="G386" s="75">
        <f>F386*100/J377</f>
        <v>5.2429674119886238</v>
      </c>
      <c r="H386" s="75">
        <f>F386*100/J380</f>
        <v>42.62268142883552</v>
      </c>
      <c r="I386" s="107" t="s">
        <v>170</v>
      </c>
      <c r="K386" s="93"/>
      <c r="L386" s="93"/>
    </row>
    <row r="387" spans="1:12" s="43" customFormat="1" ht="21" thickBot="1" x14ac:dyDescent="0.35">
      <c r="A387" s="62" t="s">
        <v>144</v>
      </c>
      <c r="B387" s="62"/>
      <c r="C387" s="62"/>
      <c r="D387" s="62"/>
      <c r="E387" s="62"/>
      <c r="F387" s="121">
        <f>F212+G212+H212+I212+J212+K212</f>
        <v>0</v>
      </c>
      <c r="G387" s="75">
        <f>F387*100/J377</f>
        <v>0</v>
      </c>
      <c r="H387" s="75">
        <f>F387*100/J380</f>
        <v>0</v>
      </c>
      <c r="J387" s="39">
        <f>F406-F378-F384-F385-F380</f>
        <v>174308.35000000003</v>
      </c>
      <c r="K387" s="108" t="s">
        <v>162</v>
      </c>
      <c r="L387" s="93"/>
    </row>
    <row r="388" spans="1:12" s="43" customFormat="1" ht="19.5" thickBot="1" x14ac:dyDescent="0.35">
      <c r="A388" s="62" t="s">
        <v>214</v>
      </c>
      <c r="B388" s="62"/>
      <c r="C388" s="62"/>
      <c r="D388" s="62"/>
      <c r="E388" s="62"/>
      <c r="F388" s="121">
        <f>F211+G211+H211+I211+J211+K211+F185+G185+H185+I185+J185+K185</f>
        <v>0</v>
      </c>
      <c r="G388" s="75">
        <f>F388*100/J377</f>
        <v>0</v>
      </c>
      <c r="H388" s="75">
        <f>F388*100/J380</f>
        <v>0</v>
      </c>
      <c r="J388" s="93"/>
      <c r="K388" s="102">
        <f>J387*100/J377</f>
        <v>62.918622973322371</v>
      </c>
      <c r="L388" s="93"/>
    </row>
    <row r="389" spans="1:12" s="43" customFormat="1" ht="18.75" x14ac:dyDescent="0.3">
      <c r="A389" s="62" t="s">
        <v>70</v>
      </c>
      <c r="B389" s="62"/>
      <c r="C389" s="62"/>
      <c r="D389" s="62"/>
      <c r="E389" s="62"/>
      <c r="F389" s="121">
        <f>F189+G189+H189+I189+J189+K189+F202+G202+H202+I202+J202+K202</f>
        <v>0</v>
      </c>
      <c r="G389" s="75">
        <f>F389*100/J377</f>
        <v>0</v>
      </c>
      <c r="H389" s="75">
        <f>F389*100/J380</f>
        <v>0</v>
      </c>
      <c r="L389" s="93"/>
    </row>
    <row r="390" spans="1:12" s="43" customFormat="1" ht="19.5" thickBot="1" x14ac:dyDescent="0.35">
      <c r="A390" s="62" t="s">
        <v>247</v>
      </c>
      <c r="B390" s="62"/>
      <c r="C390" s="62"/>
      <c r="D390" s="62"/>
      <c r="E390" s="62"/>
      <c r="F390" s="40">
        <f>F190+G190+H190+I190+J190+K190+F203+G203+H203+I203+J203+K203</f>
        <v>0</v>
      </c>
      <c r="G390" s="75">
        <f>F390*100/J377</f>
        <v>0</v>
      </c>
      <c r="H390" s="75">
        <f>F390*100/J380</f>
        <v>0</v>
      </c>
      <c r="L390" s="93"/>
    </row>
    <row r="391" spans="1:12" s="43" customFormat="1" ht="20.25" thickBot="1" x14ac:dyDescent="0.4">
      <c r="A391" s="123" t="s">
        <v>126</v>
      </c>
      <c r="B391" s="62"/>
      <c r="C391" s="62"/>
      <c r="D391" s="62"/>
      <c r="E391" s="62"/>
      <c r="F391" s="39">
        <f>SUM(F377:F390)</f>
        <v>33877.64</v>
      </c>
      <c r="G391" s="113">
        <f>SUM(G377:G390)</f>
        <v>12.228527539764702</v>
      </c>
      <c r="H391" s="113">
        <f>SUM(H377:H390)</f>
        <v>99.411762979743571</v>
      </c>
      <c r="I391" s="96" t="s">
        <v>164</v>
      </c>
      <c r="K391" s="93"/>
      <c r="L391" s="93"/>
    </row>
    <row r="392" spans="1:12" s="43" customFormat="1" ht="21" thickBot="1" x14ac:dyDescent="0.35">
      <c r="A392" s="62"/>
      <c r="B392" s="62"/>
      <c r="C392" s="62"/>
      <c r="D392" s="62"/>
      <c r="E392" s="62"/>
      <c r="F392" s="40"/>
      <c r="H392" s="75"/>
      <c r="I392" s="124" t="s">
        <v>165</v>
      </c>
      <c r="J392" s="106">
        <f>J288+J383*K399</f>
        <v>698396.15999999992</v>
      </c>
      <c r="K392" s="108" t="s">
        <v>162</v>
      </c>
      <c r="L392" s="93"/>
    </row>
    <row r="393" spans="1:12" s="43" customFormat="1" ht="21" thickBot="1" x14ac:dyDescent="0.35">
      <c r="A393" s="125" t="s">
        <v>130</v>
      </c>
      <c r="B393" s="126"/>
      <c r="C393" s="62"/>
      <c r="D393" s="62"/>
      <c r="E393" s="62"/>
      <c r="F393" s="40"/>
      <c r="H393" s="75"/>
      <c r="I393" s="124" t="s">
        <v>166</v>
      </c>
      <c r="J393" s="113">
        <f>J392/K399</f>
        <v>15872.639999999998</v>
      </c>
      <c r="K393" s="102">
        <f>J393*100/(J393+J397)</f>
        <v>8.3460707613310863</v>
      </c>
      <c r="L393" s="93"/>
    </row>
    <row r="394" spans="1:12" s="43" customFormat="1" ht="20.25" x14ac:dyDescent="0.3">
      <c r="A394" s="62" t="s">
        <v>127</v>
      </c>
      <c r="B394" s="126"/>
      <c r="C394" s="62"/>
      <c r="D394" s="62"/>
      <c r="E394" s="62"/>
      <c r="F394" s="40">
        <f>F174+G174+H174+I174+J174+K174+F200+G200+H200+I200+J200+K200</f>
        <v>140876.11000000002</v>
      </c>
      <c r="G394" s="75">
        <f>F394*100/J377</f>
        <v>50.850867735471589</v>
      </c>
      <c r="H394" s="75">
        <v>0</v>
      </c>
      <c r="L394" s="93"/>
    </row>
    <row r="395" spans="1:12" s="43" customFormat="1" ht="21" thickBot="1" x14ac:dyDescent="0.35">
      <c r="A395" s="62" t="s">
        <v>151</v>
      </c>
      <c r="B395" s="126"/>
      <c r="C395" s="62"/>
      <c r="D395" s="62"/>
      <c r="E395" s="62"/>
      <c r="F395" s="40">
        <f>F194+G194+H194+I194+J194+K194+F215+G215+H215+I215+J215+K215</f>
        <v>0</v>
      </c>
      <c r="G395" s="75">
        <f>F395*100/J377</f>
        <v>0</v>
      </c>
      <c r="H395" s="75">
        <v>0</v>
      </c>
      <c r="I395" s="96" t="s">
        <v>167</v>
      </c>
      <c r="K395" s="93"/>
      <c r="L395" s="93"/>
    </row>
    <row r="396" spans="1:12" s="43" customFormat="1" ht="21" thickBot="1" x14ac:dyDescent="0.35">
      <c r="A396" s="62" t="s">
        <v>234</v>
      </c>
      <c r="B396" s="126"/>
      <c r="C396" s="62"/>
      <c r="D396" s="62"/>
      <c r="E396" s="62"/>
      <c r="F396" s="40">
        <f>F175+G175+H175+I175+J175+K175+F201+G201+H201+I201+J201+K201</f>
        <v>200.45999999999998</v>
      </c>
      <c r="G396" s="75">
        <f>F396*100/J377</f>
        <v>7.2358364709620607E-2</v>
      </c>
      <c r="H396" s="75">
        <f>F396*100/J380</f>
        <v>0.58823702025641078</v>
      </c>
      <c r="I396" s="124" t="s">
        <v>165</v>
      </c>
      <c r="J396" s="127">
        <f>J293+J387*K399</f>
        <v>7669567.4000000013</v>
      </c>
      <c r="K396" s="108" t="s">
        <v>162</v>
      </c>
      <c r="L396" s="93"/>
    </row>
    <row r="397" spans="1:12" s="43" customFormat="1" ht="21.75" thickBot="1" x14ac:dyDescent="0.4">
      <c r="A397" s="123" t="s">
        <v>128</v>
      </c>
      <c r="B397" s="126"/>
      <c r="C397" s="62"/>
      <c r="D397" s="62"/>
      <c r="E397" s="62"/>
      <c r="F397" s="39">
        <f>SUM(F394:F396)</f>
        <v>141076.57</v>
      </c>
      <c r="G397" s="113">
        <f>SUM(G394:G396)</f>
        <v>50.923226100181211</v>
      </c>
      <c r="H397" s="113">
        <f>SUM(H394:H396)</f>
        <v>0.58823702025641078</v>
      </c>
      <c r="I397" s="33" t="s">
        <v>166</v>
      </c>
      <c r="J397" s="113">
        <f>J396/K399</f>
        <v>174308.35000000003</v>
      </c>
      <c r="K397" s="102">
        <f>J397*100/(J393+J397)</f>
        <v>91.653929238668923</v>
      </c>
      <c r="L397" s="93"/>
    </row>
    <row r="398" spans="1:12" s="43" customFormat="1" ht="13.5" thickBot="1" x14ac:dyDescent="0.25">
      <c r="L398" s="93"/>
    </row>
    <row r="399" spans="1:12" s="43" customFormat="1" ht="21" thickBot="1" x14ac:dyDescent="0.35">
      <c r="A399" s="125"/>
      <c r="B399" s="126"/>
      <c r="C399" s="62"/>
      <c r="D399" s="62"/>
      <c r="E399" s="62"/>
      <c r="F399" s="40"/>
      <c r="H399" s="75"/>
      <c r="I399" s="128" t="s">
        <v>182</v>
      </c>
      <c r="K399" s="102">
        <v>44</v>
      </c>
      <c r="L399" s="93"/>
    </row>
    <row r="400" spans="1:12" ht="19.5" x14ac:dyDescent="0.35">
      <c r="A400" s="22"/>
      <c r="B400" s="12"/>
      <c r="C400" s="12"/>
      <c r="D400" s="12"/>
      <c r="E400" s="12"/>
      <c r="F400" s="18"/>
      <c r="G400" s="18"/>
      <c r="H400" s="18"/>
      <c r="J400" s="7"/>
      <c r="K400" s="7"/>
      <c r="L400" s="7"/>
    </row>
    <row r="401" spans="1:14" ht="20.25" x14ac:dyDescent="0.3">
      <c r="A401" s="23" t="s">
        <v>273</v>
      </c>
      <c r="B401" s="12"/>
      <c r="C401" s="12"/>
      <c r="D401" s="12"/>
      <c r="E401" s="12"/>
      <c r="F401" s="18"/>
      <c r="H401" s="2"/>
      <c r="J401" s="7"/>
      <c r="K401" s="7"/>
      <c r="L401" s="7"/>
    </row>
    <row r="402" spans="1:14" ht="18.75" x14ac:dyDescent="0.3">
      <c r="A402" s="12" t="s">
        <v>72</v>
      </c>
      <c r="B402" s="12"/>
      <c r="C402" s="12"/>
      <c r="D402" s="12"/>
      <c r="E402" s="12"/>
      <c r="F402" s="17">
        <f>F191+G191+H191+I191+J191+K191+F210+G210+H210+I210+J210+K210</f>
        <v>9506.98</v>
      </c>
      <c r="G402" s="2">
        <f>F402*100/J377</f>
        <v>3.4316548245389056</v>
      </c>
      <c r="H402" s="2">
        <v>0</v>
      </c>
      <c r="J402" s="7"/>
      <c r="K402" s="7"/>
      <c r="L402" s="7"/>
    </row>
    <row r="403" spans="1:14" ht="19.5" thickBot="1" x14ac:dyDescent="0.35">
      <c r="A403" s="12" t="s">
        <v>71</v>
      </c>
      <c r="B403" s="12"/>
      <c r="C403" s="12"/>
      <c r="D403" s="12"/>
      <c r="E403" s="12"/>
      <c r="F403" s="17">
        <f>F195+G195+H195+I195+J195+K195</f>
        <v>5719.8</v>
      </c>
      <c r="G403" s="2">
        <f>F403*100/J377</f>
        <v>2.064628227407403</v>
      </c>
      <c r="H403" s="2">
        <v>0</v>
      </c>
      <c r="J403" s="7"/>
      <c r="K403" s="7"/>
      <c r="L403" s="7"/>
    </row>
    <row r="404" spans="1:14" ht="20.25" thickBot="1" x14ac:dyDescent="0.4">
      <c r="A404" s="22" t="s">
        <v>129</v>
      </c>
      <c r="B404" s="12"/>
      <c r="C404" s="12"/>
      <c r="D404" s="12"/>
      <c r="E404" s="12"/>
      <c r="F404" s="16">
        <f>SUM(F402:F403)</f>
        <v>15226.779999999999</v>
      </c>
      <c r="G404" s="19">
        <f>SUM(G402:G403)</f>
        <v>5.4962830519463086</v>
      </c>
      <c r="H404" s="19">
        <f>SUM(H402:H403)</f>
        <v>0</v>
      </c>
      <c r="J404" s="7"/>
      <c r="K404" s="7"/>
      <c r="L404" s="7"/>
    </row>
    <row r="405" spans="1:14" ht="20.25" thickBot="1" x14ac:dyDescent="0.4">
      <c r="A405" s="22"/>
      <c r="B405" s="12"/>
      <c r="C405" s="12"/>
      <c r="D405" s="12"/>
      <c r="E405" s="12"/>
      <c r="F405" s="18"/>
      <c r="H405" s="2"/>
      <c r="J405" s="7"/>
      <c r="K405" s="7"/>
      <c r="L405" s="7"/>
    </row>
    <row r="406" spans="1:14" ht="20.25" thickBot="1" x14ac:dyDescent="0.4">
      <c r="A406" s="14" t="s">
        <v>131</v>
      </c>
      <c r="B406" s="9"/>
      <c r="C406" s="9"/>
      <c r="D406" s="9"/>
      <c r="E406" s="20"/>
      <c r="F406" s="16">
        <f>F391+F397+F404</f>
        <v>190180.99000000002</v>
      </c>
      <c r="G406" s="19">
        <v>100</v>
      </c>
      <c r="H406" s="19">
        <f>H391+H397+H404</f>
        <v>99.999999999999986</v>
      </c>
      <c r="I406" s="19">
        <f>J380</f>
        <v>34078.100000000006</v>
      </c>
      <c r="J406" s="32" t="s">
        <v>155</v>
      </c>
      <c r="K406" s="32"/>
      <c r="L406" s="7"/>
    </row>
    <row r="407" spans="1:14" ht="19.5" x14ac:dyDescent="0.35">
      <c r="A407" s="14"/>
      <c r="B407" s="9"/>
      <c r="C407" s="9"/>
      <c r="D407" s="9"/>
      <c r="E407" s="20"/>
      <c r="F407" s="18"/>
      <c r="G407" s="25"/>
      <c r="J407" s="7"/>
      <c r="K407" s="7"/>
      <c r="L407" s="7"/>
    </row>
    <row r="408" spans="1:14" ht="20.25" x14ac:dyDescent="0.35">
      <c r="A408" s="31" t="s">
        <v>133</v>
      </c>
      <c r="I408" s="7"/>
      <c r="K408" s="7"/>
      <c r="L408" s="7"/>
    </row>
    <row r="409" spans="1:14" ht="21.75" thickBot="1" x14ac:dyDescent="0.4">
      <c r="A409" s="23"/>
      <c r="G409" s="29" t="s">
        <v>157</v>
      </c>
      <c r="H409" s="30" t="s">
        <v>158</v>
      </c>
      <c r="J409" s="14" t="s">
        <v>134</v>
      </c>
      <c r="K409" s="7"/>
      <c r="L409" s="7"/>
    </row>
    <row r="410" spans="1:14" ht="19.5" thickBot="1" x14ac:dyDescent="0.35">
      <c r="A410" s="36" t="s">
        <v>60</v>
      </c>
      <c r="B410" s="12"/>
      <c r="C410" s="12"/>
      <c r="D410" s="26"/>
      <c r="E410" s="12"/>
      <c r="F410" s="17">
        <f>F220+G220+H220+I220+J220+K220+F229+G229+H229+I229+J229+K229</f>
        <v>114342.76</v>
      </c>
      <c r="G410" s="24">
        <f>F410*100/J410</f>
        <v>0.39911460520272696</v>
      </c>
      <c r="H410" s="24">
        <f>F410*100/J413</f>
        <v>0.46692167025380221</v>
      </c>
      <c r="J410" s="37">
        <f>F225+G225+H225+I225+J225+K225+F234+G234+H234+I234+J234+K234+F415</f>
        <v>28649104.420000002</v>
      </c>
      <c r="K410" s="7"/>
      <c r="L410" s="7"/>
    </row>
    <row r="411" spans="1:14" ht="18.75" x14ac:dyDescent="0.3">
      <c r="A411" s="12" t="s">
        <v>61</v>
      </c>
      <c r="B411" s="12"/>
      <c r="C411" s="12"/>
      <c r="D411" s="12"/>
      <c r="E411" s="12"/>
      <c r="F411" s="38">
        <f>F221+G221+H221+I221+J221+K221+F230+G230+H230+I230+J230+K230</f>
        <v>24005043.120000001</v>
      </c>
      <c r="G411" s="24">
        <f>F411*100/J410</f>
        <v>83.78985523624965</v>
      </c>
      <c r="H411" s="24">
        <f>F411*100/J413</f>
        <v>98.025225454632576</v>
      </c>
      <c r="J411" s="7"/>
      <c r="K411" s="7"/>
      <c r="L411" s="7"/>
    </row>
    <row r="412" spans="1:14" ht="20.25" thickBot="1" x14ac:dyDescent="0.4">
      <c r="A412" s="12" t="s">
        <v>62</v>
      </c>
      <c r="B412" s="12"/>
      <c r="C412" s="12"/>
      <c r="D412" s="12"/>
      <c r="E412" s="12"/>
      <c r="F412" s="17">
        <f>F222+G222+H222+I222+J222+K222+F231+G231+H231+I231+J231+K231</f>
        <v>7579.54</v>
      </c>
      <c r="G412" s="24">
        <f>F412*100/J410</f>
        <v>2.6456464009774444E-2</v>
      </c>
      <c r="H412" s="2">
        <v>0</v>
      </c>
      <c r="J412" s="14" t="s">
        <v>156</v>
      </c>
      <c r="K412" s="7"/>
      <c r="L412" s="7"/>
    </row>
    <row r="413" spans="1:14" ht="19.5" thickBot="1" x14ac:dyDescent="0.35">
      <c r="A413" s="12" t="s">
        <v>63</v>
      </c>
      <c r="B413" s="12"/>
      <c r="C413" s="12"/>
      <c r="D413" s="12"/>
      <c r="E413" s="12"/>
      <c r="F413" s="17">
        <f>F223+G223+H223+I223+J223+K223+F232+G232+H232+I232+J232+K232</f>
        <v>4152886.36</v>
      </c>
      <c r="G413" s="24">
        <f>F413*100/J410</f>
        <v>14.495693474804961</v>
      </c>
      <c r="H413" s="2">
        <v>0</v>
      </c>
      <c r="J413" s="37">
        <f>F416-F412-F413</f>
        <v>24488638.520000003</v>
      </c>
      <c r="K413" s="7"/>
      <c r="L413" s="7"/>
    </row>
    <row r="414" spans="1:14" ht="18.75" x14ac:dyDescent="0.3">
      <c r="A414" s="12" t="s">
        <v>64</v>
      </c>
      <c r="B414" s="12"/>
      <c r="C414" s="12"/>
      <c r="D414" s="12"/>
      <c r="E414" s="12"/>
      <c r="F414" s="17">
        <f>F224+G224+H224+I224+J224+K224+F233+G233+H233+I233+J233+K233</f>
        <v>0</v>
      </c>
      <c r="G414" s="24">
        <f>F414*100/J410</f>
        <v>0</v>
      </c>
      <c r="H414" s="24">
        <f>F414*100/J413</f>
        <v>0</v>
      </c>
      <c r="J414" s="7"/>
      <c r="K414" s="7"/>
      <c r="L414" s="7"/>
    </row>
    <row r="415" spans="1:14" ht="19.5" thickBot="1" x14ac:dyDescent="0.35">
      <c r="A415" s="12" t="s">
        <v>135</v>
      </c>
      <c r="B415" s="12"/>
      <c r="C415" s="12"/>
      <c r="D415" s="12"/>
      <c r="E415" s="12"/>
      <c r="F415" s="17">
        <f>SUM(F252:F257)+SUM(G253:G257)+SUM(H253+H257)+SUM(I253:I257)+SUM(J253:J257)+SUM(K253:K257)+SUM(F263:F267)+SUM(G263:G267)+SUM(H263:H267)+SUM(I263:I267)+SUM(J263:J267)+SUM(K263:K267)</f>
        <v>369252.64</v>
      </c>
      <c r="G415" s="24">
        <f>F415*100/J410</f>
        <v>1.2888802197328861</v>
      </c>
      <c r="H415" s="24">
        <f>F415*100/J413</f>
        <v>1.507852875113614</v>
      </c>
      <c r="J415" s="7"/>
      <c r="K415" s="7"/>
      <c r="L415" s="7"/>
    </row>
    <row r="416" spans="1:14" ht="20.25" thickBot="1" x14ac:dyDescent="0.4">
      <c r="A416" s="14" t="s">
        <v>159</v>
      </c>
      <c r="B416" s="9"/>
      <c r="C416" s="9"/>
      <c r="D416" s="9"/>
      <c r="E416" s="20"/>
      <c r="F416" s="37">
        <f>SUM(F410:F415)</f>
        <v>28649104.420000002</v>
      </c>
      <c r="G416" s="19">
        <f>SUM(G410:G415)</f>
        <v>100</v>
      </c>
      <c r="H416" s="19">
        <f>SUM(H410:H415)</f>
        <v>99.999999999999986</v>
      </c>
      <c r="I416" s="37">
        <f>J413</f>
        <v>24488638.520000003</v>
      </c>
      <c r="J416" s="14" t="s">
        <v>134</v>
      </c>
      <c r="K416" s="9"/>
      <c r="L416" s="9"/>
      <c r="M416" s="9"/>
      <c r="N416" s="20"/>
    </row>
    <row r="417" spans="1:15" ht="19.5" x14ac:dyDescent="0.35">
      <c r="A417" s="14"/>
      <c r="B417" s="9"/>
      <c r="C417" s="9"/>
      <c r="D417" s="9"/>
      <c r="E417" s="20"/>
      <c r="F417" s="18"/>
      <c r="G417" s="25"/>
      <c r="J417" s="7"/>
      <c r="K417" s="7"/>
      <c r="L417" s="7"/>
    </row>
    <row r="418" spans="1:15" ht="20.25" x14ac:dyDescent="0.3">
      <c r="A418" s="3" t="s">
        <v>136</v>
      </c>
      <c r="I418" s="7"/>
      <c r="K418" s="7"/>
      <c r="L418" s="7"/>
    </row>
    <row r="419" spans="1:15" ht="21" thickBot="1" x14ac:dyDescent="0.35">
      <c r="A419" s="3"/>
      <c r="G419" s="29" t="s">
        <v>157</v>
      </c>
      <c r="H419" s="30" t="s">
        <v>158</v>
      </c>
      <c r="J419" s="30" t="s">
        <v>138</v>
      </c>
      <c r="K419" s="7"/>
      <c r="L419" s="7"/>
    </row>
    <row r="420" spans="1:15" ht="19.5" thickBot="1" x14ac:dyDescent="0.35">
      <c r="A420" s="12" t="s">
        <v>60</v>
      </c>
      <c r="B420" s="11"/>
      <c r="C420" s="11"/>
      <c r="D420" s="11"/>
      <c r="E420" s="11"/>
      <c r="F420" s="15">
        <f>F237+G237+H237+I237+J237+K237+F244+G244+H244+I244+J244+K244</f>
        <v>79826.179999999993</v>
      </c>
      <c r="G420" s="2">
        <f>F420*100/J420</f>
        <v>22.104132809469203</v>
      </c>
      <c r="H420" s="2">
        <v>0</v>
      </c>
      <c r="I420" s="7"/>
      <c r="J420" s="16">
        <f>F241+G241+H241+I241+J241+K241+F248+G248+H248+I248+J248+K248</f>
        <v>361136.9</v>
      </c>
      <c r="K420" s="7"/>
      <c r="L420" s="7"/>
    </row>
    <row r="421" spans="1:15" ht="18.75" x14ac:dyDescent="0.3">
      <c r="A421" s="12" t="s">
        <v>67</v>
      </c>
      <c r="B421" s="11"/>
      <c r="C421" s="11"/>
      <c r="D421" s="11"/>
      <c r="E421" s="11"/>
      <c r="F421" s="15">
        <f>F238+G238+H238+I238+J238+K238+F245+G245+H245+I245+J245+K245</f>
        <v>281310.71999999997</v>
      </c>
      <c r="G421" s="2">
        <f>F421*100/J420</f>
        <v>77.89586719053078</v>
      </c>
      <c r="H421" s="2">
        <f>F421*100/J423</f>
        <v>100</v>
      </c>
      <c r="I421" s="7"/>
      <c r="K421" s="7"/>
      <c r="L421" s="7"/>
    </row>
    <row r="422" spans="1:15" ht="19.5" thickBot="1" x14ac:dyDescent="0.35">
      <c r="A422" s="12" t="s">
        <v>68</v>
      </c>
      <c r="B422" s="11"/>
      <c r="C422" s="11"/>
      <c r="D422" s="11"/>
      <c r="E422" s="11"/>
      <c r="F422" s="15">
        <f>F239+G239+H239+I239+J239+K239+F246+G246+H246+I246+J246+K246</f>
        <v>0</v>
      </c>
      <c r="G422" s="2">
        <f>F422*100/J420</f>
        <v>0</v>
      </c>
      <c r="H422" s="2">
        <f>F422*100/J423</f>
        <v>0</v>
      </c>
      <c r="I422" s="7"/>
      <c r="J422" s="30" t="s">
        <v>160</v>
      </c>
      <c r="K422" s="7"/>
      <c r="L422" s="7"/>
    </row>
    <row r="423" spans="1:15" ht="19.5" thickBot="1" x14ac:dyDescent="0.35">
      <c r="A423" s="12" t="s">
        <v>69</v>
      </c>
      <c r="B423" s="11"/>
      <c r="C423" s="11"/>
      <c r="D423" s="11"/>
      <c r="E423" s="11"/>
      <c r="F423" s="15">
        <f>F240+G240+H240+I240+J240+K240+F247+G247+H247+I247+J247+K247</f>
        <v>0</v>
      </c>
      <c r="G423" s="2">
        <f>F423*100/J420</f>
        <v>0</v>
      </c>
      <c r="H423" s="2">
        <v>0</v>
      </c>
      <c r="I423" s="7"/>
      <c r="J423" s="16">
        <f>F424-F420-F423</f>
        <v>281310.71999999997</v>
      </c>
      <c r="K423" s="7"/>
      <c r="L423" s="7"/>
    </row>
    <row r="424" spans="1:15" ht="20.25" thickBot="1" x14ac:dyDescent="0.4">
      <c r="A424" s="14" t="s">
        <v>137</v>
      </c>
      <c r="B424" s="9"/>
      <c r="C424" s="9"/>
      <c r="D424" s="9"/>
      <c r="E424" s="20"/>
      <c r="F424" s="16">
        <f>SUM(F420:F423)</f>
        <v>361136.89999999997</v>
      </c>
      <c r="G424" s="19">
        <f>SUM(G420:G423)</f>
        <v>99.999999999999986</v>
      </c>
      <c r="H424" s="19">
        <f>SUM(H420:H423)</f>
        <v>100</v>
      </c>
      <c r="I424" s="16">
        <f>J423</f>
        <v>281310.71999999997</v>
      </c>
      <c r="K424" s="7"/>
      <c r="L424" s="7"/>
    </row>
    <row r="426" spans="1:15" ht="15.75" x14ac:dyDescent="0.25">
      <c r="A426" s="129"/>
      <c r="B426" s="129"/>
      <c r="J426" s="130"/>
      <c r="K426" s="130"/>
      <c r="L426" s="131"/>
      <c r="M426" s="130"/>
      <c r="N426" s="132"/>
      <c r="O426" s="132"/>
    </row>
    <row r="431" spans="1:15" x14ac:dyDescent="0.2">
      <c r="M431" s="43"/>
      <c r="N431" s="43"/>
      <c r="O431" s="43"/>
    </row>
  </sheetData>
  <phoneticPr fontId="0" type="noConversion"/>
  <pageMargins left="0" right="0" top="0" bottom="0" header="0" footer="0"/>
  <pageSetup paperSize="9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74"/>
  <sheetViews>
    <sheetView topLeftCell="A40" workbookViewId="0">
      <selection activeCell="M56" sqref="M56:R56"/>
    </sheetView>
  </sheetViews>
  <sheetFormatPr baseColWidth="10" defaultRowHeight="12.75" x14ac:dyDescent="0.2"/>
  <cols>
    <col min="2" max="2" width="52.140625" bestFit="1" customWidth="1"/>
    <col min="3" max="3" width="14.42578125" bestFit="1" customWidth="1"/>
    <col min="18" max="18" width="12.85546875" bestFit="1" customWidth="1"/>
  </cols>
  <sheetData>
    <row r="4" spans="3:5" x14ac:dyDescent="0.2">
      <c r="C4" t="s">
        <v>266</v>
      </c>
      <c r="E4" t="s">
        <v>267</v>
      </c>
    </row>
    <row r="5" spans="3:5" x14ac:dyDescent="0.2">
      <c r="C5">
        <v>463701</v>
      </c>
      <c r="E5" t="s">
        <v>268</v>
      </c>
    </row>
    <row r="6" spans="3:5" x14ac:dyDescent="0.2">
      <c r="C6">
        <v>355756</v>
      </c>
      <c r="E6">
        <v>366627.57</v>
      </c>
    </row>
    <row r="7" spans="3:5" x14ac:dyDescent="0.2">
      <c r="C7">
        <v>298959</v>
      </c>
    </row>
    <row r="8" spans="3:5" x14ac:dyDescent="0.2">
      <c r="C8">
        <v>221858</v>
      </c>
    </row>
    <row r="9" spans="3:5" x14ac:dyDescent="0.2">
      <c r="C9">
        <v>209520</v>
      </c>
    </row>
    <row r="10" spans="3:5" x14ac:dyDescent="0.2">
      <c r="C10">
        <v>205328</v>
      </c>
    </row>
    <row r="11" spans="3:5" x14ac:dyDescent="0.2">
      <c r="C11">
        <v>288914</v>
      </c>
    </row>
    <row r="12" spans="3:5" x14ac:dyDescent="0.2">
      <c r="C12">
        <v>222823</v>
      </c>
    </row>
    <row r="13" spans="3:5" x14ac:dyDescent="0.2">
      <c r="C13">
        <v>246323</v>
      </c>
    </row>
    <row r="14" spans="3:5" x14ac:dyDescent="0.2">
      <c r="C14">
        <v>256910</v>
      </c>
    </row>
    <row r="15" spans="3:5" x14ac:dyDescent="0.2">
      <c r="C15">
        <v>256896</v>
      </c>
    </row>
    <row r="16" spans="3:5" x14ac:dyDescent="0.2">
      <c r="C16">
        <v>74469</v>
      </c>
    </row>
    <row r="17" spans="3:3" x14ac:dyDescent="0.2">
      <c r="C17">
        <v>96994</v>
      </c>
    </row>
    <row r="18" spans="3:3" x14ac:dyDescent="0.2">
      <c r="C18">
        <v>91983</v>
      </c>
    </row>
    <row r="19" spans="3:3" x14ac:dyDescent="0.2">
      <c r="C19">
        <v>167242</v>
      </c>
    </row>
    <row r="20" spans="3:3" x14ac:dyDescent="0.2">
      <c r="C20">
        <f>SUM(C5:C19)</f>
        <v>3457676</v>
      </c>
    </row>
    <row r="24" spans="3:3" x14ac:dyDescent="0.2">
      <c r="C24" t="s">
        <v>268</v>
      </c>
    </row>
    <row r="28" spans="3:3" x14ac:dyDescent="0.2">
      <c r="C28" t="s">
        <v>269</v>
      </c>
    </row>
    <row r="29" spans="3:3" x14ac:dyDescent="0.2">
      <c r="C29">
        <v>1360599</v>
      </c>
    </row>
    <row r="30" spans="3:3" x14ac:dyDescent="0.2">
      <c r="C30">
        <v>141446</v>
      </c>
    </row>
    <row r="31" spans="3:3" x14ac:dyDescent="0.2">
      <c r="C31">
        <v>39652.82</v>
      </c>
    </row>
    <row r="32" spans="3:3" x14ac:dyDescent="0.2">
      <c r="C32">
        <f>+SUM(C29:C31)</f>
        <v>1541697.82</v>
      </c>
    </row>
    <row r="36" spans="3:3" x14ac:dyDescent="0.2">
      <c r="C36" t="s">
        <v>270</v>
      </c>
    </row>
    <row r="37" spans="3:3" x14ac:dyDescent="0.2">
      <c r="C37">
        <v>2472725</v>
      </c>
    </row>
    <row r="38" spans="3:3" x14ac:dyDescent="0.2">
      <c r="C38">
        <v>544000</v>
      </c>
    </row>
    <row r="39" spans="3:3" x14ac:dyDescent="0.2">
      <c r="C39">
        <f>+SUM(C37:C38)</f>
        <v>3016725</v>
      </c>
    </row>
    <row r="45" spans="3:3" x14ac:dyDescent="0.2">
      <c r="C45" t="s">
        <v>271</v>
      </c>
    </row>
    <row r="46" spans="3:3" x14ac:dyDescent="0.2">
      <c r="C46">
        <v>486175.94</v>
      </c>
    </row>
    <row r="47" spans="3:3" x14ac:dyDescent="0.2">
      <c r="C47">
        <v>1744208</v>
      </c>
    </row>
    <row r="48" spans="3:3" x14ac:dyDescent="0.2">
      <c r="C48">
        <v>115536.95</v>
      </c>
    </row>
    <row r="51" spans="2:18" x14ac:dyDescent="0.2">
      <c r="C51" t="s">
        <v>148</v>
      </c>
    </row>
    <row r="52" spans="2:18" ht="18.75" x14ac:dyDescent="0.3">
      <c r="B52" s="8" t="s">
        <v>98</v>
      </c>
      <c r="C52">
        <v>111651.19</v>
      </c>
      <c r="M52" s="42" t="s">
        <v>109</v>
      </c>
      <c r="N52" s="42"/>
      <c r="O52" s="42"/>
      <c r="P52" s="42"/>
      <c r="Q52" s="42"/>
      <c r="R52" s="42">
        <v>317810</v>
      </c>
    </row>
    <row r="53" spans="2:18" ht="18.75" x14ac:dyDescent="0.3">
      <c r="B53" s="8" t="s">
        <v>101</v>
      </c>
      <c r="C53">
        <v>17195</v>
      </c>
      <c r="M53" s="42" t="s">
        <v>100</v>
      </c>
      <c r="N53" s="42"/>
      <c r="O53" s="42"/>
      <c r="P53" s="42"/>
      <c r="Q53" s="42"/>
      <c r="R53" s="42">
        <v>0</v>
      </c>
    </row>
    <row r="54" spans="2:18" ht="18.75" x14ac:dyDescent="0.3">
      <c r="B54" s="8" t="s">
        <v>102</v>
      </c>
      <c r="C54">
        <v>158050</v>
      </c>
      <c r="M54" s="42" t="s">
        <v>103</v>
      </c>
      <c r="N54" s="42"/>
      <c r="O54" s="42"/>
      <c r="P54" s="42"/>
      <c r="Q54" s="42"/>
      <c r="R54" s="42">
        <v>99500</v>
      </c>
    </row>
    <row r="55" spans="2:18" ht="18.75" x14ac:dyDescent="0.3">
      <c r="B55" s="8" t="s">
        <v>31</v>
      </c>
      <c r="C55">
        <v>7150</v>
      </c>
      <c r="M55" s="42" t="s">
        <v>39</v>
      </c>
      <c r="N55" s="42"/>
      <c r="O55" s="42"/>
      <c r="P55" s="42"/>
      <c r="Q55" s="42"/>
      <c r="R55" s="42">
        <v>130384.34</v>
      </c>
    </row>
    <row r="56" spans="2:18" ht="18.75" x14ac:dyDescent="0.3">
      <c r="B56" s="8" t="s">
        <v>104</v>
      </c>
      <c r="C56">
        <v>94437</v>
      </c>
      <c r="M56" s="41" t="s">
        <v>106</v>
      </c>
      <c r="N56" s="41"/>
      <c r="O56" s="41"/>
      <c r="P56" s="41"/>
      <c r="Q56" s="41"/>
      <c r="R56" s="41">
        <v>597500</v>
      </c>
    </row>
    <row r="57" spans="2:18" ht="18.75" x14ac:dyDescent="0.3">
      <c r="B57" s="8" t="s">
        <v>105</v>
      </c>
      <c r="C57">
        <v>138765.85999999999</v>
      </c>
      <c r="M57" t="s">
        <v>107</v>
      </c>
      <c r="R57">
        <v>0</v>
      </c>
    </row>
    <row r="58" spans="2:18" ht="18.75" x14ac:dyDescent="0.3">
      <c r="B58" s="8" t="s">
        <v>41</v>
      </c>
      <c r="C58">
        <v>476293.75</v>
      </c>
      <c r="M58" t="s">
        <v>238</v>
      </c>
      <c r="R58">
        <v>158405</v>
      </c>
    </row>
    <row r="59" spans="2:18" ht="18.75" x14ac:dyDescent="0.3">
      <c r="B59" s="8" t="s">
        <v>213</v>
      </c>
      <c r="C59">
        <v>13034</v>
      </c>
      <c r="M59" t="s">
        <v>143</v>
      </c>
      <c r="R59">
        <v>76000</v>
      </c>
    </row>
    <row r="60" spans="2:18" ht="18.75" x14ac:dyDescent="0.3">
      <c r="B60" s="8" t="s">
        <v>108</v>
      </c>
      <c r="C60">
        <v>68552.790000000008</v>
      </c>
      <c r="M60" t="s">
        <v>110</v>
      </c>
      <c r="R60">
        <v>19480</v>
      </c>
    </row>
    <row r="61" spans="2:18" ht="18.75" x14ac:dyDescent="0.3">
      <c r="B61" s="8" t="s">
        <v>47</v>
      </c>
      <c r="C61">
        <v>97000</v>
      </c>
      <c r="M61" t="s">
        <v>150</v>
      </c>
      <c r="R61">
        <v>0</v>
      </c>
    </row>
    <row r="62" spans="2:18" ht="18.75" x14ac:dyDescent="0.3">
      <c r="B62" s="8" t="s">
        <v>48</v>
      </c>
      <c r="C62">
        <v>6346</v>
      </c>
      <c r="M62" t="s">
        <v>239</v>
      </c>
      <c r="R62">
        <v>453939.47000000003</v>
      </c>
    </row>
    <row r="63" spans="2:18" x14ac:dyDescent="0.2">
      <c r="C63" s="2">
        <f>SUM(C52:C62)</f>
        <v>1188475.5900000001</v>
      </c>
      <c r="R63" s="2">
        <f>SUM(R52:R62)</f>
        <v>1853018.8099999998</v>
      </c>
    </row>
    <row r="69" spans="2:7" x14ac:dyDescent="0.2">
      <c r="B69" t="s">
        <v>114</v>
      </c>
      <c r="G69">
        <v>206118</v>
      </c>
    </row>
    <row r="70" spans="2:7" x14ac:dyDescent="0.2">
      <c r="B70" t="s">
        <v>202</v>
      </c>
      <c r="G70">
        <v>31449</v>
      </c>
    </row>
    <row r="71" spans="2:7" x14ac:dyDescent="0.2">
      <c r="B71" t="s">
        <v>201</v>
      </c>
      <c r="G71">
        <v>4400</v>
      </c>
    </row>
    <row r="72" spans="2:7" x14ac:dyDescent="0.2">
      <c r="B72" t="s">
        <v>200</v>
      </c>
      <c r="G72">
        <v>0</v>
      </c>
    </row>
    <row r="73" spans="2:7" x14ac:dyDescent="0.2">
      <c r="B73" t="s">
        <v>169</v>
      </c>
      <c r="G73">
        <v>79300</v>
      </c>
    </row>
    <row r="74" spans="2:7" x14ac:dyDescent="0.2">
      <c r="G74" s="2">
        <f>SUM(G69:G73)</f>
        <v>321267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Hoja3</vt:lpstr>
      <vt:lpstr>Hoja5</vt:lpstr>
    </vt:vector>
  </TitlesOfParts>
  <Company>Estudio Juridico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Ricardo Lomiento</dc:creator>
  <cp:lastModifiedBy>Usuario</cp:lastModifiedBy>
  <cp:lastPrinted>2024-04-16T15:52:36Z</cp:lastPrinted>
  <dcterms:created xsi:type="dcterms:W3CDTF">2000-04-19T21:49:04Z</dcterms:created>
  <dcterms:modified xsi:type="dcterms:W3CDTF">2026-01-30T14:49:05Z</dcterms:modified>
</cp:coreProperties>
</file>