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785" windowWidth="20730" windowHeight="7440"/>
  </bookViews>
  <sheets>
    <sheet name="Hoja1" sheetId="1" r:id="rId1"/>
    <sheet name="Hoja4" sheetId="4" r:id="rId2"/>
    <sheet name="Hoja2" sheetId="2" r:id="rId3"/>
    <sheet name="Hoja3" sheetId="3" r:id="rId4"/>
    <sheet name="Hoja5" sheetId="5" r:id="rId5"/>
  </sheets>
  <calcPr calcId="144525"/>
</workbook>
</file>

<file path=xl/calcChain.xml><?xml version="1.0" encoding="utf-8"?>
<calcChain xmlns="http://schemas.openxmlformats.org/spreadsheetml/2006/main">
  <c r="K137" i="1" l="1"/>
  <c r="K152" i="1"/>
  <c r="K197" i="1"/>
  <c r="K261" i="1" l="1"/>
  <c r="K257" i="1"/>
  <c r="K238" i="1" l="1"/>
  <c r="K225" i="1" l="1"/>
  <c r="K214" i="1"/>
  <c r="K216" i="1"/>
  <c r="K161" i="1"/>
  <c r="K193" i="1"/>
  <c r="K194" i="1" l="1"/>
  <c r="K150" i="1"/>
  <c r="K199" i="1"/>
  <c r="K130" i="1"/>
  <c r="K128" i="1" l="1"/>
  <c r="K224" i="1"/>
  <c r="K96" i="1"/>
  <c r="K131" i="1" l="1"/>
  <c r="K148" i="1"/>
  <c r="J238" i="1" l="1"/>
  <c r="J223" i="1"/>
  <c r="J197" i="1"/>
  <c r="J152" i="1"/>
  <c r="J137" i="1"/>
  <c r="J161" i="1" l="1"/>
  <c r="J128" i="1"/>
  <c r="J123" i="1"/>
  <c r="J120" i="1"/>
  <c r="J117" i="1"/>
  <c r="J114" i="1"/>
  <c r="J111" i="1"/>
  <c r="J108" i="1"/>
  <c r="J105" i="1"/>
  <c r="J102" i="1"/>
  <c r="J99" i="1"/>
  <c r="J95" i="1"/>
  <c r="J92" i="1"/>
  <c r="J126" i="1"/>
  <c r="J127" i="1"/>
  <c r="J203" i="1"/>
  <c r="J151" i="1"/>
  <c r="J194" i="1"/>
  <c r="J150" i="1"/>
  <c r="J110" i="1"/>
  <c r="J199" i="1"/>
  <c r="J96" i="1"/>
  <c r="J98" i="1"/>
  <c r="J130" i="1"/>
  <c r="J131" i="1" l="1"/>
  <c r="F292" i="1"/>
  <c r="I238" i="1"/>
  <c r="I223" i="1"/>
  <c r="I137" i="1"/>
  <c r="I161" i="1"/>
  <c r="I152" i="1"/>
  <c r="I134" i="1"/>
  <c r="I194" i="1"/>
  <c r="I224" i="1"/>
  <c r="I261" i="1" l="1"/>
  <c r="I257" i="1"/>
  <c r="I199" i="1"/>
  <c r="I260" i="1"/>
  <c r="I148" i="1"/>
  <c r="I151" i="1"/>
  <c r="I150" i="1"/>
  <c r="I96" i="1"/>
  <c r="I128" i="1"/>
  <c r="I130" i="1" l="1"/>
  <c r="I193" i="1" l="1"/>
  <c r="I197" i="1"/>
  <c r="I131" i="1"/>
  <c r="I225" i="1"/>
  <c r="H199" i="1" l="1"/>
  <c r="H151" i="1"/>
  <c r="H238" i="1"/>
  <c r="H193" i="1"/>
  <c r="H260" i="1"/>
  <c r="H194" i="1" l="1"/>
  <c r="H128" i="1"/>
  <c r="H224" i="1"/>
  <c r="H130" i="1"/>
  <c r="H119" i="1"/>
  <c r="H107" i="1"/>
  <c r="H150" i="1"/>
  <c r="G259" i="1"/>
  <c r="G260" i="1"/>
  <c r="G257" i="1"/>
  <c r="H131" i="1"/>
  <c r="G224" i="1"/>
  <c r="G223" i="1"/>
  <c r="G137" i="1"/>
  <c r="G134" i="1"/>
  <c r="G199" i="1"/>
  <c r="G151" i="1" l="1"/>
  <c r="G128" i="1"/>
  <c r="G150" i="1"/>
  <c r="G152" i="1"/>
  <c r="G197" i="1"/>
  <c r="G131" i="1"/>
  <c r="G130" i="1"/>
  <c r="G113" i="1" l="1"/>
  <c r="F261" i="1"/>
  <c r="F260" i="1"/>
  <c r="F257" i="1"/>
  <c r="F238" i="1"/>
  <c r="F137" i="1"/>
  <c r="F196" i="1" l="1"/>
  <c r="F96" i="1"/>
  <c r="F161" i="1"/>
  <c r="F194" i="1"/>
  <c r="F223" i="1"/>
  <c r="F144" i="1"/>
  <c r="F199" i="1"/>
  <c r="F224" i="1"/>
  <c r="F128" i="1"/>
  <c r="F151" i="1"/>
  <c r="F143" i="1"/>
  <c r="F130" i="1"/>
  <c r="F150" i="1"/>
  <c r="F159" i="1"/>
  <c r="F225" i="1" l="1"/>
  <c r="F129" i="1"/>
  <c r="F203" i="1"/>
  <c r="F193" i="1"/>
  <c r="F134" i="1"/>
  <c r="F132" i="1"/>
  <c r="F131" i="1"/>
  <c r="F202" i="1"/>
  <c r="K60" i="1" l="1"/>
  <c r="K167" i="1" l="1"/>
  <c r="K50" i="1"/>
  <c r="K71" i="1"/>
  <c r="K231" i="1"/>
  <c r="K251" i="1"/>
  <c r="K250" i="1"/>
  <c r="K249" i="1"/>
  <c r="K247" i="1"/>
  <c r="J247" i="1"/>
  <c r="K171" i="1"/>
  <c r="K73" i="1"/>
  <c r="K75" i="1"/>
  <c r="K215" i="1"/>
  <c r="K55" i="1"/>
  <c r="K51" i="1"/>
  <c r="K184" i="1"/>
  <c r="K84" i="1"/>
  <c r="K19" i="1"/>
  <c r="K76" i="1" l="1"/>
  <c r="K56" i="1"/>
  <c r="J60" i="1"/>
  <c r="J71" i="1"/>
  <c r="J188" i="1"/>
  <c r="J214" i="1"/>
  <c r="J231" i="1"/>
  <c r="J215" i="1" l="1"/>
  <c r="J167" i="1"/>
  <c r="J73" i="1"/>
  <c r="J169" i="1"/>
  <c r="J171" i="1"/>
  <c r="J74" i="1"/>
  <c r="J58" i="1"/>
  <c r="J72" i="1"/>
  <c r="J251" i="1"/>
  <c r="J250" i="1"/>
  <c r="J55" i="1"/>
  <c r="J50" i="1"/>
  <c r="J51" i="1"/>
  <c r="J11" i="1"/>
  <c r="J65" i="1"/>
  <c r="J86" i="1"/>
  <c r="J30" i="1" l="1"/>
  <c r="J42" i="1"/>
  <c r="J84" i="1" l="1"/>
  <c r="J56" i="1"/>
  <c r="I251" i="1"/>
  <c r="I250" i="1"/>
  <c r="I247" i="1"/>
  <c r="I60" i="1"/>
  <c r="F373" i="1" l="1"/>
  <c r="F379" i="1"/>
  <c r="F371" i="1"/>
  <c r="I214" i="1"/>
  <c r="I231" i="1"/>
  <c r="I74" i="1"/>
  <c r="I73" i="1"/>
  <c r="I66" i="1"/>
  <c r="I84" i="1"/>
  <c r="I171" i="1"/>
  <c r="I168" i="1"/>
  <c r="I50" i="1"/>
  <c r="I65" i="1"/>
  <c r="I215" i="1"/>
  <c r="I51" i="1"/>
  <c r="I36" i="1"/>
  <c r="I86" i="1"/>
  <c r="I56" i="1"/>
  <c r="I62" i="1"/>
  <c r="I55" i="1"/>
  <c r="I78" i="1"/>
  <c r="I233" i="1"/>
  <c r="I216" i="1"/>
  <c r="I167" i="1"/>
  <c r="H60" i="1"/>
  <c r="H251" i="1" l="1"/>
  <c r="H247" i="1"/>
  <c r="H231" i="1"/>
  <c r="H214" i="1"/>
  <c r="H184" i="1"/>
  <c r="H216" i="1" l="1"/>
  <c r="H167" i="1"/>
  <c r="H55" i="1"/>
  <c r="H87" i="1" l="1"/>
  <c r="H56" i="1"/>
  <c r="H65" i="1"/>
  <c r="H86" i="1"/>
  <c r="H72" i="1"/>
  <c r="H171" i="1"/>
  <c r="H51" i="1"/>
  <c r="H37" i="1"/>
  <c r="H67" i="1"/>
  <c r="H85" i="1"/>
  <c r="H52" i="1"/>
  <c r="H215" i="1"/>
  <c r="H250" i="1" l="1"/>
  <c r="H84" i="1" l="1"/>
  <c r="G251" i="1"/>
  <c r="F251" i="1"/>
  <c r="G250" i="1"/>
  <c r="G247" i="1"/>
  <c r="G231" i="1"/>
  <c r="G215" i="1"/>
  <c r="G214" i="1"/>
  <c r="G60" i="1"/>
  <c r="G50" i="1"/>
  <c r="G72" i="1"/>
  <c r="F72" i="1"/>
  <c r="G84" i="1"/>
  <c r="G73" i="1"/>
  <c r="G169" i="1"/>
  <c r="G75" i="1" l="1"/>
  <c r="G51" i="1"/>
  <c r="G56" i="1"/>
  <c r="G76" i="1"/>
  <c r="G65" i="1"/>
  <c r="G71" i="1"/>
  <c r="G55" i="1"/>
  <c r="F84" i="1" l="1"/>
  <c r="F60" i="1"/>
  <c r="F73" i="1"/>
  <c r="F74" i="1"/>
  <c r="F168" i="1"/>
  <c r="F171" i="1"/>
  <c r="F167" i="1"/>
  <c r="F231" i="1"/>
  <c r="F247" i="1"/>
  <c r="F216" i="1"/>
  <c r="F214" i="1"/>
  <c r="F188" i="1"/>
  <c r="F54" i="1"/>
  <c r="F11" i="1"/>
  <c r="F56" i="1"/>
  <c r="F75" i="1"/>
  <c r="F50" i="1"/>
  <c r="F51" i="1"/>
  <c r="F55" i="1"/>
  <c r="F65" i="1"/>
  <c r="F250" i="1"/>
  <c r="F245" i="1"/>
  <c r="F80" i="1"/>
  <c r="F77" i="1" l="1"/>
  <c r="F83" i="1"/>
  <c r="G89" i="1"/>
  <c r="K89" i="1"/>
  <c r="I89" i="1"/>
  <c r="H89" i="1"/>
  <c r="J89" i="1"/>
  <c r="I164" i="1"/>
  <c r="G164" i="1"/>
  <c r="K164" i="1"/>
  <c r="F164" i="1"/>
  <c r="H164" i="1"/>
  <c r="J164" i="1"/>
  <c r="F89" i="1" l="1"/>
  <c r="F372" i="1"/>
  <c r="F360" i="1" l="1"/>
  <c r="F351" i="1"/>
  <c r="F335" i="1" l="1"/>
  <c r="F285" i="1"/>
  <c r="F284" i="1"/>
  <c r="F283" i="1"/>
  <c r="F282" i="1"/>
  <c r="F286" i="1"/>
  <c r="F281" i="1"/>
  <c r="F280" i="1"/>
  <c r="F279" i="1"/>
  <c r="F278" i="1"/>
  <c r="F277" i="1"/>
  <c r="F276" i="1"/>
  <c r="F357" i="1"/>
  <c r="F343" i="1"/>
  <c r="F340" i="1"/>
  <c r="F339" i="1"/>
  <c r="F336" i="1"/>
  <c r="F334" i="1"/>
  <c r="F332" i="1"/>
  <c r="F327" i="1"/>
  <c r="F325" i="1"/>
  <c r="F323" i="1"/>
  <c r="F322" i="1"/>
  <c r="F321" i="1"/>
  <c r="F320" i="1"/>
  <c r="F319" i="1"/>
  <c r="F318" i="1"/>
  <c r="F317" i="1"/>
  <c r="F347" i="1"/>
  <c r="F314" i="1"/>
  <c r="F313" i="1"/>
  <c r="F312" i="1"/>
  <c r="F307" i="1"/>
  <c r="F306" i="1"/>
  <c r="F301" i="1"/>
  <c r="F300" i="1"/>
  <c r="F299" i="1"/>
  <c r="F298" i="1"/>
  <c r="F297" i="1"/>
  <c r="F293" i="1"/>
  <c r="F291" i="1"/>
  <c r="F290" i="1"/>
  <c r="F190" i="1" l="1"/>
  <c r="I190" i="1"/>
  <c r="G209" i="1"/>
  <c r="H209" i="1"/>
  <c r="I209" i="1"/>
  <c r="F218" i="1"/>
  <c r="G218" i="1"/>
  <c r="H218" i="1"/>
  <c r="I218" i="1"/>
  <c r="G227" i="1"/>
  <c r="F227" i="1"/>
  <c r="H227" i="1"/>
  <c r="I227" i="1"/>
  <c r="F234" i="1"/>
  <c r="G234" i="1"/>
  <c r="H234" i="1"/>
  <c r="I234" i="1"/>
  <c r="F241" i="1"/>
  <c r="G241" i="1"/>
  <c r="H241" i="1"/>
  <c r="I241" i="1"/>
  <c r="F268" i="1"/>
  <c r="F252" i="1"/>
  <c r="G245" i="1" s="1"/>
  <c r="F266" i="1"/>
  <c r="F270" i="1"/>
  <c r="F324" i="1"/>
  <c r="F326" i="1"/>
  <c r="F333" i="1"/>
  <c r="F337" i="1"/>
  <c r="F338" i="1"/>
  <c r="F341" i="1"/>
  <c r="F342" i="1"/>
  <c r="F358" i="1"/>
  <c r="F359" i="1"/>
  <c r="F368" i="1"/>
  <c r="F369" i="1"/>
  <c r="F370" i="1"/>
  <c r="F374" i="1"/>
  <c r="F375" i="1"/>
  <c r="F376" i="1"/>
  <c r="F377" i="1"/>
  <c r="F378" i="1"/>
  <c r="F380" i="1"/>
  <c r="F385" i="1"/>
  <c r="F386" i="1"/>
  <c r="F387" i="1"/>
  <c r="F393" i="1"/>
  <c r="H395" i="1"/>
  <c r="F401" i="1"/>
  <c r="F404" i="1"/>
  <c r="F405" i="1"/>
  <c r="F411" i="1"/>
  <c r="F413" i="1"/>
  <c r="F414" i="1"/>
  <c r="F308" i="1" l="1"/>
  <c r="F294" i="1"/>
  <c r="G252" i="1"/>
  <c r="G190" i="1"/>
  <c r="H190" i="1"/>
  <c r="F209" i="1"/>
  <c r="F388" i="1"/>
  <c r="H245" i="1" l="1"/>
  <c r="H252" i="1" s="1"/>
  <c r="R63" i="4"/>
  <c r="G74" i="4"/>
  <c r="C63" i="4"/>
  <c r="C39" i="4"/>
  <c r="C32" i="4"/>
  <c r="C20" i="4"/>
  <c r="I245" i="1" l="1"/>
  <c r="I252" i="1" s="1"/>
  <c r="J245" i="1" s="1"/>
  <c r="F356" i="1"/>
  <c r="F352" i="1"/>
  <c r="F353" i="1" s="1"/>
  <c r="K190" i="1"/>
  <c r="F381" i="1"/>
  <c r="F394" i="1"/>
  <c r="J209" i="1"/>
  <c r="K209" i="1"/>
  <c r="F402" i="1"/>
  <c r="J227" i="1"/>
  <c r="K227" i="1"/>
  <c r="J234" i="1"/>
  <c r="J241" i="1"/>
  <c r="K241" i="1"/>
  <c r="F267" i="1"/>
  <c r="J276" i="1" l="1"/>
  <c r="G342" i="1" s="1"/>
  <c r="F403" i="1"/>
  <c r="F269" i="1"/>
  <c r="H267" i="1" s="1"/>
  <c r="F406" i="1"/>
  <c r="F382" i="1"/>
  <c r="K234" i="1"/>
  <c r="J411" i="1" s="1"/>
  <c r="F412" i="1"/>
  <c r="F361" i="1"/>
  <c r="F395" i="1"/>
  <c r="F348" i="1"/>
  <c r="K218" i="1"/>
  <c r="J190" i="1"/>
  <c r="J252" i="1"/>
  <c r="J218" i="1"/>
  <c r="G343" i="1" l="1"/>
  <c r="G340" i="1"/>
  <c r="K245" i="1"/>
  <c r="K252" i="1" s="1"/>
  <c r="F255" i="1" s="1"/>
  <c r="F262" i="1" s="1"/>
  <c r="G255" i="1" s="1"/>
  <c r="G262" i="1" s="1"/>
  <c r="H255" i="1" s="1"/>
  <c r="H262" i="1" s="1"/>
  <c r="I255" i="1" s="1"/>
  <c r="I262" i="1" s="1"/>
  <c r="J255" i="1" s="1"/>
  <c r="J262" i="1" s="1"/>
  <c r="K255" i="1" s="1"/>
  <c r="K262" i="1" s="1"/>
  <c r="F407" i="1"/>
  <c r="J404" i="1" s="1"/>
  <c r="H406" i="1" s="1"/>
  <c r="F397" i="1"/>
  <c r="J378" i="1" s="1"/>
  <c r="I267" i="1"/>
  <c r="G266" i="1"/>
  <c r="G270" i="1"/>
  <c r="G268" i="1"/>
  <c r="G267" i="1"/>
  <c r="G413" i="1"/>
  <c r="G414" i="1"/>
  <c r="G411" i="1"/>
  <c r="F328" i="1"/>
  <c r="G412" i="1"/>
  <c r="F415" i="1"/>
  <c r="J414" i="1" s="1"/>
  <c r="H412" i="1" s="1"/>
  <c r="F287" i="1"/>
  <c r="F315" i="1"/>
  <c r="F344" i="1"/>
  <c r="G269" i="1"/>
  <c r="F302" i="1"/>
  <c r="J374" i="1"/>
  <c r="J401" i="1"/>
  <c r="G406" i="1" s="1"/>
  <c r="J368" i="1"/>
  <c r="G371" i="1" s="1"/>
  <c r="F303" i="1" l="1"/>
  <c r="G283" i="1"/>
  <c r="G276" i="1"/>
  <c r="G415" i="1"/>
  <c r="G312" i="1"/>
  <c r="G334" i="1"/>
  <c r="G336" i="1"/>
  <c r="G322" i="1"/>
  <c r="G297" i="1"/>
  <c r="F329" i="1"/>
  <c r="G317" i="1"/>
  <c r="G314" i="1"/>
  <c r="G368" i="1"/>
  <c r="G372" i="1"/>
  <c r="G376" i="1"/>
  <c r="G380" i="1"/>
  <c r="G374" i="1"/>
  <c r="G378" i="1"/>
  <c r="G370" i="1"/>
  <c r="G393" i="1"/>
  <c r="G387" i="1"/>
  <c r="G375" i="1"/>
  <c r="G377" i="1"/>
  <c r="G386" i="1"/>
  <c r="G373" i="1"/>
  <c r="G385" i="1"/>
  <c r="G379" i="1"/>
  <c r="G369" i="1"/>
  <c r="G394" i="1"/>
  <c r="G381" i="1"/>
  <c r="G405" i="1"/>
  <c r="G404" i="1"/>
  <c r="G401" i="1"/>
  <c r="G402" i="1"/>
  <c r="G403" i="1"/>
  <c r="G325" i="1"/>
  <c r="I407" i="1"/>
  <c r="H401" i="1"/>
  <c r="H405" i="1"/>
  <c r="H402" i="1"/>
  <c r="G301" i="1"/>
  <c r="G359" i="1"/>
  <c r="G298" i="1"/>
  <c r="G300" i="1"/>
  <c r="G358" i="1"/>
  <c r="G337" i="1"/>
  <c r="G333" i="1"/>
  <c r="G290" i="1"/>
  <c r="G313" i="1"/>
  <c r="G338" i="1"/>
  <c r="G324" i="1"/>
  <c r="G318" i="1"/>
  <c r="G293" i="1"/>
  <c r="G326" i="1"/>
  <c r="G307" i="1"/>
  <c r="G306" i="1"/>
  <c r="G339" i="1"/>
  <c r="G292" i="1"/>
  <c r="G341" i="1"/>
  <c r="G291" i="1"/>
  <c r="G295" i="1"/>
  <c r="G327" i="1"/>
  <c r="G281" i="1"/>
  <c r="G277" i="1"/>
  <c r="G321" i="1"/>
  <c r="G320" i="1"/>
  <c r="G278" i="1"/>
  <c r="G347" i="1"/>
  <c r="G348" i="1" s="1"/>
  <c r="G351" i="1"/>
  <c r="G279" i="1"/>
  <c r="G356" i="1"/>
  <c r="G360" i="1"/>
  <c r="G332" i="1"/>
  <c r="G284" i="1"/>
  <c r="G352" i="1"/>
  <c r="G285" i="1"/>
  <c r="G299" i="1"/>
  <c r="G335" i="1"/>
  <c r="G280" i="1"/>
  <c r="G357" i="1"/>
  <c r="G286" i="1"/>
  <c r="G319" i="1"/>
  <c r="G282" i="1"/>
  <c r="I415" i="1"/>
  <c r="H413" i="1"/>
  <c r="H415" i="1" s="1"/>
  <c r="G323" i="1"/>
  <c r="H270" i="1"/>
  <c r="J371" i="1"/>
  <c r="K267" i="1"/>
  <c r="K375" i="1"/>
  <c r="F363" i="1" l="1"/>
  <c r="G344" i="1"/>
  <c r="G328" i="1"/>
  <c r="G302" i="1"/>
  <c r="G315" i="1"/>
  <c r="G287" i="1"/>
  <c r="G294" i="1"/>
  <c r="G308" i="1"/>
  <c r="G353" i="1"/>
  <c r="G388" i="1"/>
  <c r="G361" i="1"/>
  <c r="H407" i="1"/>
  <c r="G304" i="1"/>
  <c r="I397" i="1"/>
  <c r="H375" i="1"/>
  <c r="H370" i="1"/>
  <c r="H374" i="1"/>
  <c r="H378" i="1"/>
  <c r="H377" i="1"/>
  <c r="H380" i="1"/>
  <c r="H373" i="1"/>
  <c r="H376" i="1"/>
  <c r="H387" i="1"/>
  <c r="H388" i="1" s="1"/>
  <c r="H368" i="1"/>
  <c r="H372" i="1"/>
  <c r="H379" i="1"/>
  <c r="H369" i="1"/>
  <c r="H381" i="1"/>
  <c r="H371" i="1"/>
  <c r="G407" i="1"/>
  <c r="G395" i="1"/>
  <c r="G382" i="1"/>
  <c r="K379" i="1"/>
  <c r="J383" i="1"/>
  <c r="J384" i="1" s="1"/>
  <c r="G303" i="1" l="1"/>
  <c r="G397" i="1"/>
  <c r="G329" i="1"/>
  <c r="G363" i="1" s="1"/>
  <c r="H382" i="1"/>
  <c r="H397" i="1" s="1"/>
  <c r="J387" i="1"/>
  <c r="J388" i="1" s="1"/>
  <c r="K384" i="1" s="1"/>
  <c r="K388" i="1" l="1"/>
</calcChain>
</file>

<file path=xl/sharedStrings.xml><?xml version="1.0" encoding="utf-8"?>
<sst xmlns="http://schemas.openxmlformats.org/spreadsheetml/2006/main" count="512" uniqueCount="308">
  <si>
    <t>NOVIEMBRE</t>
  </si>
  <si>
    <t>SETIEMBRE</t>
  </si>
  <si>
    <t>OCTUBRE</t>
  </si>
  <si>
    <t>EGRESOS DOLARES</t>
  </si>
  <si>
    <t>TOTALES</t>
  </si>
  <si>
    <t>INGRESOS PESOS URUGUAYOS</t>
  </si>
  <si>
    <t>CAJA EFECTIVO - PESOS URUGUAYOS</t>
  </si>
  <si>
    <t>SALDO FINAL</t>
  </si>
  <si>
    <t>EDIFICIO TORRE ANTARES</t>
  </si>
  <si>
    <t>EGRESOS LIQUIDOS PESOS URUGUAYOS</t>
  </si>
  <si>
    <t>Saldo Inicial</t>
  </si>
  <si>
    <t>Ingresos varios</t>
  </si>
  <si>
    <t>EGRESOS PERIODO</t>
  </si>
  <si>
    <t>INGRESOS PERIODO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</si>
  <si>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</si>
  <si>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</si>
  <si>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</si>
  <si>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</si>
  <si>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</si>
  <si>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</si>
  <si>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</si>
  <si>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</si>
  <si>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</si>
  <si>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Medio Aguinaldo Andrea Lima</t>
  </si>
  <si>
    <t>Sueldo Líquido Mucama Andrea Lima</t>
  </si>
  <si>
    <t>Tickets Alimentación de Personal</t>
  </si>
  <si>
    <t>B.S.E. Seguro de Accidentes</t>
  </si>
  <si>
    <t>B.P.S. Aportes Patronales y Obreros</t>
  </si>
  <si>
    <t>UTE suministro de energía</t>
  </si>
  <si>
    <t>ANTEL servicios telefónicos</t>
  </si>
  <si>
    <t>OSE aguas corrientes</t>
  </si>
  <si>
    <t>Correspondencia</t>
  </si>
  <si>
    <t>Service Ascensores</t>
  </si>
  <si>
    <t>Transferencias Banco a Banco</t>
  </si>
  <si>
    <t>Honorarios, Gastos e IVA Escribanía</t>
  </si>
  <si>
    <t>Papelería, Fotocopias y sobres</t>
  </si>
  <si>
    <t>Honorarios Profesionales Administración</t>
  </si>
  <si>
    <t>IVA sobre honorarios profesionales</t>
  </si>
  <si>
    <t>Servicio Barométrico y Limpieza Cañerías</t>
  </si>
  <si>
    <t>Electricidad, materiales y mano de obra</t>
  </si>
  <si>
    <t>Abono Servicio Emergencia Movil</t>
  </si>
  <si>
    <t>Barraca y Ferretería</t>
  </si>
  <si>
    <t>Carpintería, compras, materiales y mano de obra</t>
  </si>
  <si>
    <t>Cerrajería</t>
  </si>
  <si>
    <t>Uniformes de Personal</t>
  </si>
  <si>
    <t>Canastas Navideñas a personal</t>
  </si>
  <si>
    <t>Recarga y Compra de extintores de incencio</t>
  </si>
  <si>
    <t>Vidriería</t>
  </si>
  <si>
    <t>Imprenta</t>
  </si>
  <si>
    <t>Tasa Municipal de Ascensores</t>
  </si>
  <si>
    <t>Limpieza Anual de Tanques de Agua</t>
  </si>
  <si>
    <t>Salida para caja efectivo</t>
  </si>
  <si>
    <t>Cambio de Moneda para pagos</t>
  </si>
  <si>
    <t>Banco y Servicio Bancomat</t>
  </si>
  <si>
    <t>Arreglos y compra de artículos de piscina</t>
  </si>
  <si>
    <t>Barraca de Maderas, tirantes y cielo raso baños</t>
  </si>
  <si>
    <t>Pago por trabajos contratados para obras</t>
  </si>
  <si>
    <t>Cerámicas y grifería</t>
  </si>
  <si>
    <t>Válvulas de riego</t>
  </si>
  <si>
    <t>Cambio de Bomba de agua, caños y llaves</t>
  </si>
  <si>
    <t>Saldo ejercicio anterior</t>
  </si>
  <si>
    <t>Cobrado por Gastos Comunes</t>
  </si>
  <si>
    <t>Otros ingresos (transferencias-reintegros, etc)</t>
  </si>
  <si>
    <t>Cambio de Dólares</t>
  </si>
  <si>
    <t>Intereses bancarios</t>
  </si>
  <si>
    <t>Saldo mensual inicial</t>
  </si>
  <si>
    <t>INGRESOS DOLARES</t>
  </si>
  <si>
    <t>Cobrado por Gastos Comunes y otros conceptos</t>
  </si>
  <si>
    <t>Intereses Bancarios</t>
  </si>
  <si>
    <t>Entrado transferencia Banco a Banco</t>
  </si>
  <si>
    <t>Caños Termofusión</t>
  </si>
  <si>
    <t>Cheque Devuelto Propietario</t>
  </si>
  <si>
    <t>Propietarios pagos particulares</t>
  </si>
  <si>
    <t>Mucama Sra. Andrea Lima</t>
  </si>
  <si>
    <t>Uniformes personal</t>
  </si>
  <si>
    <t>SUBTOTAL  SUELDOS PERSONAL ESTABLE</t>
  </si>
  <si>
    <t>B.P.S Aportes patronales y obreros</t>
  </si>
  <si>
    <t>B.S.E. Seguro de accidentes</t>
  </si>
  <si>
    <t>Tickets de Alimentación</t>
  </si>
  <si>
    <t>Uniformes Personal</t>
  </si>
  <si>
    <t>RUBRO 1 PERSONAL.-</t>
  </si>
  <si>
    <t>A) PERSONAL ESTABLE TOTALES ANUALES</t>
  </si>
  <si>
    <t>Canastas Navideñas</t>
  </si>
  <si>
    <t>TOTAL SALIDAS CONCEPTO PERSONAL</t>
  </si>
  <si>
    <t>B) PERSONAL ZAFRAL TOTALES ANUALES</t>
  </si>
  <si>
    <t>C) CARGAS SOCIALES, SEGUROS, ETC</t>
  </si>
  <si>
    <t>SUBTOTAL  SUELDOS PERSONAL ZAFRAL</t>
  </si>
  <si>
    <t>SUBTOTAL CARGAS SOCIALES, SEGUROS, ETC</t>
  </si>
  <si>
    <t>RUBRO 2 ADMINISTRACION.-</t>
  </si>
  <si>
    <t>Honorarios de Administración</t>
  </si>
  <si>
    <t>IVA</t>
  </si>
  <si>
    <t>RUBRO 3 CONSUMOS.-</t>
  </si>
  <si>
    <t>UTE</t>
  </si>
  <si>
    <t>OSE</t>
  </si>
  <si>
    <t>ANTEL</t>
  </si>
  <si>
    <t>TOTAL SALIDAS CONCEPTO CONSUMOS</t>
  </si>
  <si>
    <t>SUBTOTAL SALIDAS CONCEPTO CONSUMOS</t>
  </si>
  <si>
    <t>A) CONSUMOS ORGANISMOS ESTADO.-</t>
  </si>
  <si>
    <t>Artículos de Limpieza</t>
  </si>
  <si>
    <t>RUBRO 4- SERVICE Y SERVICIOS VARIOS</t>
  </si>
  <si>
    <t>Abono Emergencia Movil</t>
  </si>
  <si>
    <t>Papelería, fotocopias, sobres, etc</t>
  </si>
  <si>
    <t>Jardinería, compra plantas,árboles, insumos</t>
  </si>
  <si>
    <t>Service Barométrica y Cañerías</t>
  </si>
  <si>
    <t>Piscina, arreglos, compras, insumos</t>
  </si>
  <si>
    <t>Artículos de escritorio e insumos</t>
  </si>
  <si>
    <t>Sanitaria, materiales y mano de obra</t>
  </si>
  <si>
    <t>Cerrajería, arreglos y compras</t>
  </si>
  <si>
    <t>Aluminio, reparaciones y compras</t>
  </si>
  <si>
    <t>Service Ascensores, insumos, e impuestos</t>
  </si>
  <si>
    <t>Limpieza de Tanques de Agua</t>
  </si>
  <si>
    <t>RUBRO 5- BANCOS.-</t>
  </si>
  <si>
    <t>Gastos Banco</t>
  </si>
  <si>
    <t>TOTAL CONCEPTO BANCOS</t>
  </si>
  <si>
    <t>Honorarios, Montepíos, gastos e IVA Escribanía</t>
  </si>
  <si>
    <t>RUBRO 7- HONORARIOS PROFESIONALES.-</t>
  </si>
  <si>
    <t>RUBRO 6- SALIDAS VARIAS.-</t>
  </si>
  <si>
    <t>TOTAL SALIDAS ADMINISTRACION</t>
  </si>
  <si>
    <t>SUBTOTAL SALIDAS CONSUMOS VARIOS</t>
  </si>
  <si>
    <t>TOTAL CONCEPTO SERVICE Y SERVICIOS</t>
  </si>
  <si>
    <t>TOTAL CONCEPTO SALIDAS VARIAS</t>
  </si>
  <si>
    <t>TOTAL CONCEPTO HONORARIOS</t>
  </si>
  <si>
    <t>TOTAL SALIDAS $</t>
  </si>
  <si>
    <t>TOTAL DE SALIDAS EN PESOS URUGUAYOS</t>
  </si>
  <si>
    <t>TOTAL DE SALIDAS ANUALES DISCRIMINACION POR RUBROS Y PORCENTAJES EN PESOS URUGUAYOS</t>
  </si>
  <si>
    <t>TOTAL DE SALIDAS ANUALES DISCRIMINACION POR RUBROS Y PORCENTAJES EN DOLARES USA</t>
  </si>
  <si>
    <t>TOTAL SUMINISTRO MATERIALES</t>
  </si>
  <si>
    <t>Cambio de Moneda</t>
  </si>
  <si>
    <t>TOTAL CONCEPTO MONEDA</t>
  </si>
  <si>
    <t>TOTAL  CONCEPTO CUESTIONES VARIAS</t>
  </si>
  <si>
    <t>RUBRO 9 - MONEDA.-</t>
  </si>
  <si>
    <t>TOTAL DE SALIDAS EN DOLARES USA</t>
  </si>
  <si>
    <t>TOTAL SALIDAS U$S</t>
  </si>
  <si>
    <t>TOTAL DE ENTRADAS ANUALES DISCRIMINACION POR RUBROS Y PORCENTAJES EN PESOS URUGUAYOS</t>
  </si>
  <si>
    <t>TOTAL ENTRADAS $</t>
  </si>
  <si>
    <t>Ingresos Caja efectivo</t>
  </si>
  <si>
    <t>TOTAL DE ENTRADAS ANUALES DISCRIMINACION POR RUBROS Y PORCENTAJES EN DOLARES USA</t>
  </si>
  <si>
    <t>TOTAL INGRESOS DOLARES USA</t>
  </si>
  <si>
    <t>TOTAL ENTRADAS U$S</t>
  </si>
  <si>
    <t>SALARIOS</t>
  </si>
  <si>
    <t>Caños Termofusión y mano de obra</t>
  </si>
  <si>
    <t xml:space="preserve">RUBRO 8-  MATERIALES E INSUMOS </t>
  </si>
  <si>
    <t>Honorarios Auditor Externo e IVA</t>
  </si>
  <si>
    <t>Auditor Externo e IVA</t>
  </si>
  <si>
    <t>Arreglos de azotea, materiales y mano de obra</t>
  </si>
  <si>
    <t>Computadora, impresora, fax, insumos</t>
  </si>
  <si>
    <t>Devolución de crédito y depositos por error</t>
  </si>
  <si>
    <t>Devolución depósito por error y cheques propietarios</t>
  </si>
  <si>
    <t>B) CONSUMOS O PRODUCTOS VARIOS PARTICULARES</t>
  </si>
  <si>
    <t>Service Pararrayo</t>
  </si>
  <si>
    <t>Service pararrayo</t>
  </si>
  <si>
    <t>Transferencias Cuenta a Cuenta Bancos</t>
  </si>
  <si>
    <t>Transferencias de cuentas Bancos</t>
  </si>
  <si>
    <t>% SALIDAS</t>
  </si>
  <si>
    <t>% GASTOS</t>
  </si>
  <si>
    <t>TOTAL GASTOS U$S</t>
  </si>
  <si>
    <t>TOTAL INGRESOS $</t>
  </si>
  <si>
    <t>% ENTRADAS</t>
  </si>
  <si>
    <t>% INGRESOS</t>
  </si>
  <si>
    <t>TOTAL ENTRADAS PESOS URUGUAYOS</t>
  </si>
  <si>
    <t>TOTAL INGRESOS U$S</t>
  </si>
  <si>
    <t>SALIDAS FUNCIONAMIENTO U$S</t>
  </si>
  <si>
    <t>%</t>
  </si>
  <si>
    <t>Bancos</t>
  </si>
  <si>
    <t>SALIDAS FUNCIONAMIENTO AMBAS MONEDAS</t>
  </si>
  <si>
    <t>PESOS</t>
  </si>
  <si>
    <t>DOLARES</t>
  </si>
  <si>
    <t>SALIDAS EXTRAORDINARIAS AMBAS MONEDAS</t>
  </si>
  <si>
    <t>Ingresos por Alquiler Parrillas</t>
  </si>
  <si>
    <t>Honorarios e IVA Gestor</t>
  </si>
  <si>
    <t>SALIDAS EXTRAORDINARIOS U$S</t>
  </si>
  <si>
    <t>Ingresos por consumos telefónicos</t>
  </si>
  <si>
    <t>Honorarios e IVA Auditora Externa contratada</t>
  </si>
  <si>
    <t>Otros ingresos (transferencias Banco-Caja Efectivo)</t>
  </si>
  <si>
    <t>Trabajos materiales y mano de obra</t>
  </si>
  <si>
    <t>Mármoles Ascensores</t>
  </si>
  <si>
    <t>TOTAL</t>
  </si>
  <si>
    <t>PORCENTAJE</t>
  </si>
  <si>
    <t>DISCRIMINACION DE INGRESOS Y PORCENTAJES TOTALES CAJA EFECTIVO</t>
  </si>
  <si>
    <t>Entrado transferencia Banco a Banco y otros</t>
  </si>
  <si>
    <t xml:space="preserve">Propietarios pagos particulares y otros </t>
  </si>
  <si>
    <t xml:space="preserve"> </t>
  </si>
  <si>
    <t>DÓLAR COTIZACION PROMEDIO</t>
  </si>
  <si>
    <t>% INGRESO</t>
  </si>
  <si>
    <t>Medio Aguinaldo Marcelo Ureta</t>
  </si>
  <si>
    <t>Sueldo Líquido  Recepcinista Marcelo Ureta</t>
  </si>
  <si>
    <t>Recepcionista Sr. Marcelo Ureta</t>
  </si>
  <si>
    <t>Honorarios e IVA Auditoría</t>
  </si>
  <si>
    <t>EQUIVALE</t>
  </si>
  <si>
    <t>Insumos de Computadora, impresora, cámaras Seg.</t>
  </si>
  <si>
    <t>Sueldo Líquido Mucama Daniela Carrasco</t>
  </si>
  <si>
    <t>Medio Aguinaldo Daniela Carrasco</t>
  </si>
  <si>
    <t>Cadete Bruno Lomiento</t>
  </si>
  <si>
    <t>Cloro, artículos de Piscina, sombrillas. Reposeras</t>
  </si>
  <si>
    <t>Electricidad, Sanitaria, materiales y mano de obra</t>
  </si>
  <si>
    <t>Mucama Sra. Daniela Carrasco</t>
  </si>
  <si>
    <t>Recarga Extintores</t>
  </si>
  <si>
    <t>Jardinería, Plantas, Insumos y service</t>
  </si>
  <si>
    <t>Sueldo Líquido  Recepcionista Marcelo Ureta</t>
  </si>
  <si>
    <t>Sueldo Líquido Cadete Bruno Lomiento</t>
  </si>
  <si>
    <t>Honorarios Abogado</t>
  </si>
  <si>
    <t>Gastos judiciales</t>
  </si>
  <si>
    <t>Iva</t>
  </si>
  <si>
    <t>Honorarios Abogados contratados</t>
  </si>
  <si>
    <t>Equipos  sala juegos, comunicación e Internet</t>
  </si>
  <si>
    <t>Equipos de comunicación y sala juegos</t>
  </si>
  <si>
    <t>Tasa Anual de Ascensores</t>
  </si>
  <si>
    <t>Gastos judiaciales</t>
  </si>
  <si>
    <t xml:space="preserve">Sueldo Líquido Recepcionista Matías Cabrera </t>
  </si>
  <si>
    <t xml:space="preserve">Medio Aguinaldo Matías Cabrera </t>
  </si>
  <si>
    <t>RSA Seguros del Edificio</t>
  </si>
  <si>
    <t>BSE Seguro Central Telefonica</t>
  </si>
  <si>
    <t>Salario Vacacional y Licencia</t>
  </si>
  <si>
    <t>Recepcionista Sr. Matías Cabrera</t>
  </si>
  <si>
    <t>Vidrieria, Carpintería, arreglos y compras</t>
  </si>
  <si>
    <t>Barreaca y Ferreteria</t>
  </si>
  <si>
    <t>Sueldo Líquido Mantenimiento Jose Luis Teijeiro</t>
  </si>
  <si>
    <t>Medio Aguinaldo Jose Luis Teijeiro</t>
  </si>
  <si>
    <t>Mantenimiento Sr. Jose Luis Teijeiro</t>
  </si>
  <si>
    <t>Sueldo Líquido Mucama María del Carmen Egures</t>
  </si>
  <si>
    <t>Medio Aguinaldo María del Carmen Egures</t>
  </si>
  <si>
    <t>Mucama Sra. María del Carmen Egures</t>
  </si>
  <si>
    <t>Medio Aguinaldo Candelaria Signorino</t>
  </si>
  <si>
    <t>Insumos y compras Computación y Telefonía</t>
  </si>
  <si>
    <t>Ingresos ventas garrafas 13 K</t>
  </si>
  <si>
    <t>Ingresos Alquiler de Garages</t>
  </si>
  <si>
    <t>Gastos Varios y transferencias de cuentas</t>
  </si>
  <si>
    <t>Ingresos Alquiler de garages</t>
  </si>
  <si>
    <t>Ingresos varios (cobro de insumos a Propietarios)</t>
  </si>
  <si>
    <t>Administrativa Sra. Candelaria Signorino</t>
  </si>
  <si>
    <t>Recepcionista Brandon Caporal</t>
  </si>
  <si>
    <t>Sueldo Líquido Administrativa Candelaria Signorino</t>
  </si>
  <si>
    <t>Sueldo Líquido Recepcionista Brandon Caporal</t>
  </si>
  <si>
    <t>Medio Aguinaldo Brandon Caporal</t>
  </si>
  <si>
    <t>Salario Vacacional y licencia</t>
  </si>
  <si>
    <t>GANANCIAS EJERCICIO PESOS</t>
  </si>
  <si>
    <t>Gastos bancarios</t>
  </si>
  <si>
    <t>Retención Judicial Marcelo Ureta</t>
  </si>
  <si>
    <t>Limpieza Semestral de Tanques de Agua</t>
  </si>
  <si>
    <t>Pago Devuelto Propietario</t>
  </si>
  <si>
    <t>Tasa de Ascensores</t>
  </si>
  <si>
    <t>Pago por particulres</t>
  </si>
  <si>
    <t>Liquidación final Bruno Lomiento</t>
  </si>
  <si>
    <t>Medio Aguinaldo Luis Lopez</t>
  </si>
  <si>
    <t>Sueldo Recepcionista Luis Lopez</t>
  </si>
  <si>
    <t>Medio Aguinaldo Recepcionista Luis Lopez</t>
  </si>
  <si>
    <t>Sueldo Líquido  Recepcionista Luis Lopez</t>
  </si>
  <si>
    <t>Honorarios e IVA gestor</t>
  </si>
  <si>
    <t>Vidriería  y colocación de freno</t>
  </si>
  <si>
    <t>Arreglos y compra de artículos de piscina e iluminación</t>
  </si>
  <si>
    <t>Sueldo Líquido Recepcionista Matías Aispuro</t>
  </si>
  <si>
    <t>Medio Aguinaldo Matías Aispuro</t>
  </si>
  <si>
    <t>Recepcionista Matías Aispuro</t>
  </si>
  <si>
    <t>Licencia y Salario Vacacional Luis Lopez</t>
  </si>
  <si>
    <t>Insumos de Gimnasio y Recepcion</t>
  </si>
  <si>
    <t>Barraca y Ferreteria</t>
  </si>
  <si>
    <t xml:space="preserve">Pago y devolución propietarios </t>
  </si>
  <si>
    <t>Artículos de limpieza y bolsas de residuo</t>
  </si>
  <si>
    <t>Medio Aguinaldo</t>
  </si>
  <si>
    <t>Carpintería.</t>
  </si>
  <si>
    <t>Pagos cuentas particulares propietarios</t>
  </si>
  <si>
    <t>Caños Termofusión y arreglos de iluminación</t>
  </si>
  <si>
    <t>Acrílicos y vidriería</t>
  </si>
  <si>
    <t>Sueldo Líquido Recepcionista Joaquín Ferreri</t>
  </si>
  <si>
    <t>Medio Aguinaldo Joaquín Ferreri</t>
  </si>
  <si>
    <t>Liquidación final</t>
  </si>
  <si>
    <t>Liquidación por egreso</t>
  </si>
  <si>
    <t xml:space="preserve">Riego e insumos </t>
  </si>
  <si>
    <t>Banco y Redes de Pago</t>
  </si>
  <si>
    <t>Devolución de crédito y pagos por error</t>
  </si>
  <si>
    <t>Service Ascensores y arreglos</t>
  </si>
  <si>
    <t>IVA sobre honorarios Administración</t>
  </si>
  <si>
    <t>Honorarios Abogados y Gastos Judiciales</t>
  </si>
  <si>
    <t>Recepcionista Joaquin Ferrari</t>
  </si>
  <si>
    <t>Rubro 1 FONDO</t>
  </si>
  <si>
    <t>Rubro 1 Arriba</t>
  </si>
  <si>
    <t>Uniformes y ticket</t>
  </si>
  <si>
    <t>bpse,bpse,canastas</t>
  </si>
  <si>
    <t>Hon e iva</t>
  </si>
  <si>
    <t>Ute ose antel</t>
  </si>
  <si>
    <t>Recargas y compras de extintores</t>
  </si>
  <si>
    <t>Artículos escritorio e insumos, recepción y parrilleros</t>
  </si>
  <si>
    <t>RUBRO 10- CUESTIONES VARIAS</t>
  </si>
  <si>
    <t>Sueldo Líquido Mucama Yamila Valiero</t>
  </si>
  <si>
    <t>Liquidación final Yamila Valiero</t>
  </si>
  <si>
    <t>Sueldo Líquido Administrativa Camila Lomiento</t>
  </si>
  <si>
    <t>Insumos de Administracion, Recepcion y Piscina</t>
  </si>
  <si>
    <t>Art. Escritorio recepcion, gimnasio y otros</t>
  </si>
  <si>
    <t>Piscina, bomba, arreglos e insumos</t>
  </si>
  <si>
    <t>Cerámicas</t>
  </si>
  <si>
    <t>Administrativa Camila Lomiento</t>
  </si>
  <si>
    <t>Mucama Yamila Valiero</t>
  </si>
  <si>
    <t>Mucama Sra. Karen González</t>
  </si>
  <si>
    <t>Recepcionista Sr. Luis Lopez</t>
  </si>
  <si>
    <t>Pago por particulares</t>
  </si>
  <si>
    <t>Pago Hosting Torre Antares</t>
  </si>
  <si>
    <t>Insumos de Gimnasio, Recepcion y Garaje</t>
  </si>
  <si>
    <t>Arreglos de electricidad</t>
  </si>
  <si>
    <t>Cloro, artículos de piscina y requinchado</t>
  </si>
  <si>
    <t>Honorarios profesionales gestor</t>
  </si>
  <si>
    <t>RENDICION DE CUENTAS DICIEMBRE 2022 a NOVIEMBRE 2023</t>
  </si>
  <si>
    <t>Jardinería y compra de insumos</t>
  </si>
  <si>
    <t>Sueldo Líquido Mucama Paola Rodríguez</t>
  </si>
  <si>
    <t>Medio Aguinaldo Paola Rodríguez</t>
  </si>
  <si>
    <t>Otros Ingresos</t>
  </si>
  <si>
    <t>Telefonía, internet e insumnos</t>
  </si>
  <si>
    <t xml:space="preserve">Pago por trabajos contratados </t>
  </si>
  <si>
    <t>Sueldo Líquido Ana Paola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</si>
</sst>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 * #,##0_ ;_ * \-#,##0_ ;_ * &quot;-&quot;_ ;_ @_ "/>
    <numFmt numFmtId="165" formatCode="_ * #,##0.00_ ;_ * \-#,##0.00_ ;_ * &quot;-&quot;??_ ;_ @_ "/>
    <numFmt numFmtId="166" formatCode="_ [$€-2]\ * #,##0.00_ ;_ [$€-2]\ * \-#,##0.00_ ;_ [$€-2]\ * &quot;-&quot;??_ "/>
    <numFmt numFmtId="167" formatCode="_ * #,##0.00_ ;_ * \-#,##0.00_ ;_ * &quot;-&quot;_ ;_ @_ "/>
  </numFmts>
  <fonts count="4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i/>
      <u/>
      <sz val="16"/>
      <name val="Times New Roman"/>
      <family val="1"/>
    </font>
    <font>
      <b/>
      <u/>
      <sz val="16"/>
      <name val="Times New Roman"/>
      <family val="1"/>
    </font>
    <font>
      <sz val="9"/>
      <name val="Arial"/>
      <family val="2"/>
    </font>
    <font>
      <b/>
      <i/>
      <u/>
      <sz val="14"/>
      <name val="Times New Roman"/>
      <family val="1"/>
    </font>
    <font>
      <b/>
      <i/>
      <u/>
      <sz val="12"/>
      <name val="Times New Roman"/>
      <family val="1"/>
    </font>
    <font>
      <sz val="16"/>
      <name val="Arial"/>
      <family val="2"/>
    </font>
    <font>
      <b/>
      <i/>
      <u/>
      <sz val="22"/>
      <name val="Times New Roman"/>
      <family val="1"/>
    </font>
    <font>
      <b/>
      <u/>
      <sz val="22"/>
      <name val="Arial"/>
      <family val="2"/>
    </font>
    <font>
      <i/>
      <sz val="16"/>
      <name val="Times New Roman"/>
      <family val="1"/>
    </font>
    <font>
      <i/>
      <sz val="14"/>
      <name val="Times New Roman"/>
      <family val="1"/>
    </font>
    <font>
      <b/>
      <sz val="10"/>
      <name val="Arial"/>
      <family val="2"/>
    </font>
    <font>
      <i/>
      <u/>
      <sz val="14"/>
      <name val="Times New Roman"/>
      <family val="1"/>
    </font>
    <font>
      <b/>
      <sz val="9"/>
      <name val="Arial"/>
      <family val="2"/>
    </font>
    <font>
      <i/>
      <sz val="14"/>
      <name val="Arial"/>
      <family val="2"/>
    </font>
    <font>
      <b/>
      <u/>
      <sz val="12"/>
      <name val="Times New Roman"/>
      <family val="1"/>
    </font>
    <font>
      <sz val="16"/>
      <name val="Arial"/>
      <family val="2"/>
    </font>
    <font>
      <b/>
      <i/>
      <u/>
      <sz val="16"/>
      <name val="Arial Black"/>
      <family val="2"/>
    </font>
    <font>
      <sz val="10"/>
      <name val="Arial Black"/>
      <family val="2"/>
    </font>
    <font>
      <sz val="14"/>
      <name val="Arial"/>
      <family val="2"/>
    </font>
    <font>
      <b/>
      <u/>
      <sz val="10"/>
      <name val="Arial"/>
      <family val="2"/>
    </font>
    <font>
      <b/>
      <i/>
      <sz val="14"/>
      <name val="Times New Roman"/>
      <family val="1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3"/>
      <name val="Times New Roman"/>
      <family val="1"/>
    </font>
    <font>
      <b/>
      <i/>
      <u/>
      <sz val="10"/>
      <name val="Arial"/>
      <family val="2"/>
    </font>
    <font>
      <i/>
      <sz val="10"/>
      <name val="Arial"/>
      <family val="2"/>
    </font>
    <font>
      <b/>
      <i/>
      <u/>
      <sz val="11"/>
      <name val="Times New Roman"/>
      <family val="1"/>
    </font>
    <font>
      <b/>
      <i/>
      <u/>
      <sz val="15"/>
      <name val="Times New Roman"/>
      <family val="1"/>
    </font>
    <font>
      <b/>
      <sz val="12"/>
      <name val="Arial"/>
      <family val="2"/>
    </font>
    <font>
      <b/>
      <i/>
      <u/>
      <sz val="10"/>
      <name val="Times New Roman"/>
      <family val="1"/>
    </font>
    <font>
      <b/>
      <sz val="10"/>
      <name val="Arial Black"/>
      <family val="2"/>
    </font>
    <font>
      <b/>
      <sz val="11"/>
      <name val="Arial"/>
      <family val="2"/>
    </font>
    <font>
      <b/>
      <u/>
      <sz val="12"/>
      <name val="Arial Black"/>
      <family val="2"/>
    </font>
    <font>
      <i/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165" fontId="0" fillId="0" borderId="0" xfId="2" applyFont="1"/>
    <xf numFmtId="0" fontId="5" fillId="0" borderId="0" xfId="0" applyFont="1"/>
    <xf numFmtId="0" fontId="11" fillId="0" borderId="0" xfId="0" applyFont="1"/>
    <xf numFmtId="0" fontId="12" fillId="0" borderId="0" xfId="0" applyFont="1"/>
    <xf numFmtId="0" fontId="14" fillId="0" borderId="1" xfId="0" applyFont="1" applyFill="1" applyBorder="1"/>
    <xf numFmtId="0" fontId="1" fillId="0" borderId="0" xfId="0" applyFont="1" applyBorder="1"/>
    <xf numFmtId="0" fontId="14" fillId="0" borderId="0" xfId="0" applyFont="1"/>
    <xf numFmtId="0" fontId="18" fillId="0" borderId="0" xfId="0" applyFont="1"/>
    <xf numFmtId="0" fontId="19" fillId="0" borderId="1" xfId="0" applyFont="1" applyFill="1" applyBorder="1"/>
    <xf numFmtId="0" fontId="23" fillId="0" borderId="0" xfId="0" applyFont="1" applyBorder="1"/>
    <xf numFmtId="0" fontId="14" fillId="0" borderId="0" xfId="0" applyFont="1" applyBorder="1"/>
    <xf numFmtId="167" fontId="3" fillId="0" borderId="0" xfId="3" applyNumberFormat="1" applyFont="1" applyFill="1" applyBorder="1"/>
    <xf numFmtId="0" fontId="8" fillId="0" borderId="0" xfId="0" applyFont="1"/>
    <xf numFmtId="43" fontId="0" fillId="0" borderId="0" xfId="0" applyNumberFormat="1"/>
    <xf numFmtId="43" fontId="15" fillId="0" borderId="6" xfId="0" applyNumberFormat="1" applyFont="1" applyBorder="1"/>
    <xf numFmtId="43" fontId="3" fillId="0" borderId="0" xfId="0" applyNumberFormat="1" applyFont="1" applyBorder="1"/>
    <xf numFmtId="43" fontId="15" fillId="0" borderId="0" xfId="0" applyNumberFormat="1" applyFont="1" applyBorder="1"/>
    <xf numFmtId="165" fontId="15" fillId="0" borderId="6" xfId="2" applyFont="1" applyBorder="1"/>
    <xf numFmtId="0" fontId="23" fillId="0" borderId="0" xfId="0" applyFont="1"/>
    <xf numFmtId="0" fontId="19" fillId="0" borderId="2" xfId="0" applyFont="1" applyFill="1" applyBorder="1"/>
    <xf numFmtId="0" fontId="25" fillId="0" borderId="0" xfId="0" applyFont="1" applyBorder="1"/>
    <xf numFmtId="0" fontId="5" fillId="0" borderId="0" xfId="0" applyFont="1" applyBorder="1"/>
    <xf numFmtId="165" fontId="3" fillId="0" borderId="0" xfId="2" applyFont="1" applyBorder="1"/>
    <xf numFmtId="165" fontId="15" fillId="0" borderId="0" xfId="2" applyFont="1" applyBorder="1"/>
    <xf numFmtId="0" fontId="16" fillId="0" borderId="0" xfId="0" applyFont="1" applyBorder="1"/>
    <xf numFmtId="167" fontId="3" fillId="0" borderId="1" xfId="3" applyNumberFormat="1" applyFont="1" applyFill="1" applyBorder="1"/>
    <xf numFmtId="167" fontId="3" fillId="0" borderId="2" xfId="3" applyNumberFormat="1" applyFont="1" applyFill="1" applyBorder="1"/>
    <xf numFmtId="0" fontId="32" fillId="0" borderId="0" xfId="0" applyFont="1"/>
    <xf numFmtId="0" fontId="9" fillId="0" borderId="0" xfId="0" applyFont="1"/>
    <xf numFmtId="0" fontId="33" fillId="0" borderId="0" xfId="0" applyFont="1"/>
    <xf numFmtId="0" fontId="8" fillId="0" borderId="0" xfId="0" applyFont="1" applyBorder="1"/>
    <xf numFmtId="0" fontId="3" fillId="0" borderId="0" xfId="0" applyFont="1" applyFill="1" applyBorder="1"/>
    <xf numFmtId="165" fontId="0" fillId="0" borderId="11" xfId="2" applyFont="1" applyFill="1" applyBorder="1"/>
    <xf numFmtId="0" fontId="8" fillId="0" borderId="0" xfId="0" applyFont="1" applyFill="1" applyBorder="1"/>
    <xf numFmtId="0" fontId="14" fillId="0" borderId="13" xfId="0" applyFont="1" applyBorder="1"/>
    <xf numFmtId="43" fontId="40" fillId="0" borderId="6" xfId="0" applyNumberFormat="1" applyFont="1" applyBorder="1"/>
    <xf numFmtId="43" fontId="41" fillId="0" borderId="0" xfId="0" applyNumberFormat="1" applyFont="1" applyBorder="1"/>
    <xf numFmtId="43" fontId="15" fillId="0" borderId="6" xfId="0" applyNumberFormat="1" applyFont="1" applyFill="1" applyBorder="1"/>
    <xf numFmtId="43" fontId="0" fillId="0" borderId="0" xfId="0" applyNumberForma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/>
    <xf numFmtId="0" fontId="10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8" fillId="0" borderId="1" xfId="0" applyFont="1" applyFill="1" applyBorder="1"/>
    <xf numFmtId="0" fontId="23" fillId="0" borderId="1" xfId="0" applyFont="1" applyFill="1" applyBorder="1"/>
    <xf numFmtId="0" fontId="9" fillId="0" borderId="1" xfId="0" applyFont="1" applyFill="1" applyBorder="1"/>
    <xf numFmtId="165" fontId="0" fillId="0" borderId="1" xfId="2" applyFont="1" applyFill="1" applyBorder="1"/>
    <xf numFmtId="165" fontId="3" fillId="0" borderId="1" xfId="2" applyFont="1" applyFill="1" applyBorder="1"/>
    <xf numFmtId="165" fontId="3" fillId="0" borderId="0" xfId="2" applyFont="1" applyFill="1"/>
    <xf numFmtId="0" fontId="14" fillId="0" borderId="7" xfId="0" applyFont="1" applyFill="1" applyBorder="1"/>
    <xf numFmtId="165" fontId="0" fillId="0" borderId="7" xfId="2" applyFont="1" applyFill="1" applyBorder="1"/>
    <xf numFmtId="0" fontId="39" fillId="0" borderId="0" xfId="0" applyFont="1" applyFill="1"/>
    <xf numFmtId="167" fontId="0" fillId="0" borderId="1" xfId="3" applyNumberFormat="1" applyFont="1" applyFill="1" applyBorder="1"/>
    <xf numFmtId="167" fontId="3" fillId="0" borderId="0" xfId="3" applyNumberFormat="1" applyFont="1" applyFill="1"/>
    <xf numFmtId="0" fontId="14" fillId="0" borderId="11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3" xfId="0" applyFill="1" applyBorder="1"/>
    <xf numFmtId="165" fontId="15" fillId="0" borderId="5" xfId="2" applyFont="1" applyFill="1" applyBorder="1"/>
    <xf numFmtId="0" fontId="0" fillId="0" borderId="0" xfId="0" applyFill="1" applyBorder="1"/>
    <xf numFmtId="165" fontId="1" fillId="0" borderId="1" xfId="2" applyFont="1" applyFill="1" applyBorder="1"/>
    <xf numFmtId="0" fontId="14" fillId="0" borderId="0" xfId="0" applyFont="1" applyFill="1"/>
    <xf numFmtId="165" fontId="15" fillId="0" borderId="1" xfId="2" applyFont="1" applyFill="1" applyBorder="1"/>
    <xf numFmtId="0" fontId="5" fillId="0" borderId="2" xfId="0" applyFont="1" applyFill="1" applyBorder="1"/>
    <xf numFmtId="0" fontId="20" fillId="0" borderId="2" xfId="0" applyFont="1" applyFill="1" applyBorder="1"/>
    <xf numFmtId="0" fontId="0" fillId="0" borderId="2" xfId="0" applyFill="1" applyBorder="1"/>
    <xf numFmtId="165" fontId="3" fillId="0" borderId="1" xfId="2" quotePrefix="1" applyFont="1" applyFill="1" applyBorder="1"/>
    <xf numFmtId="165" fontId="0" fillId="0" borderId="0" xfId="2" applyFont="1" applyFill="1"/>
    <xf numFmtId="0" fontId="9" fillId="0" borderId="2" xfId="0" applyFont="1" applyFill="1" applyBorder="1"/>
    <xf numFmtId="0" fontId="14" fillId="0" borderId="3" xfId="0" applyFont="1" applyFill="1" applyBorder="1"/>
    <xf numFmtId="0" fontId="3" fillId="0" borderId="3" xfId="0" applyFont="1" applyFill="1" applyBorder="1"/>
    <xf numFmtId="165" fontId="15" fillId="0" borderId="9" xfId="2" applyFont="1" applyFill="1" applyBorder="1"/>
    <xf numFmtId="0" fontId="16" fillId="0" borderId="1" xfId="0" applyFont="1" applyFill="1" applyBorder="1"/>
    <xf numFmtId="165" fontId="7" fillId="0" borderId="1" xfId="2" applyFont="1" applyFill="1" applyBorder="1"/>
    <xf numFmtId="165" fontId="17" fillId="0" borderId="1" xfId="2" applyFont="1" applyFill="1" applyBorder="1"/>
    <xf numFmtId="0" fontId="23" fillId="0" borderId="3" xfId="0" applyFont="1" applyFill="1" applyBorder="1"/>
    <xf numFmtId="167" fontId="15" fillId="0" borderId="4" xfId="3" applyNumberFormat="1" applyFont="1" applyFill="1" applyBorder="1"/>
    <xf numFmtId="167" fontId="15" fillId="0" borderId="5" xfId="3" applyNumberFormat="1" applyFont="1" applyFill="1" applyBorder="1"/>
    <xf numFmtId="167" fontId="15" fillId="0" borderId="8" xfId="3" applyNumberFormat="1" applyFont="1" applyFill="1" applyBorder="1"/>
    <xf numFmtId="0" fontId="23" fillId="0" borderId="0" xfId="0" applyFont="1" applyFill="1" applyBorder="1"/>
    <xf numFmtId="165" fontId="7" fillId="0" borderId="0" xfId="2" applyFont="1" applyFill="1"/>
    <xf numFmtId="0" fontId="9" fillId="0" borderId="7" xfId="0" applyFont="1" applyFill="1" applyBorder="1"/>
    <xf numFmtId="0" fontId="0" fillId="0" borderId="7" xfId="0" applyFill="1" applyBorder="1"/>
    <xf numFmtId="165" fontId="0" fillId="0" borderId="2" xfId="2" applyFont="1" applyFill="1" applyBorder="1"/>
    <xf numFmtId="165" fontId="15" fillId="0" borderId="4" xfId="2" applyFont="1" applyFill="1" applyBorder="1"/>
    <xf numFmtId="0" fontId="1" fillId="0" borderId="0" xfId="0" applyFont="1" applyFill="1" applyBorder="1"/>
    <xf numFmtId="0" fontId="9" fillId="0" borderId="0" xfId="0" applyFont="1" applyFill="1"/>
    <xf numFmtId="0" fontId="8" fillId="0" borderId="0" xfId="0" applyFont="1" applyFill="1"/>
    <xf numFmtId="0" fontId="35" fillId="0" borderId="0" xfId="0" applyFont="1" applyFill="1" applyBorder="1"/>
    <xf numFmtId="165" fontId="34" fillId="0" borderId="1" xfId="0" applyNumberFormat="1" applyFont="1" applyFill="1" applyBorder="1"/>
    <xf numFmtId="165" fontId="34" fillId="0" borderId="1" xfId="2" applyFont="1" applyFill="1" applyBorder="1"/>
    <xf numFmtId="0" fontId="38" fillId="0" borderId="1" xfId="0" applyFont="1" applyFill="1" applyBorder="1"/>
    <xf numFmtId="0" fontId="38" fillId="0" borderId="0" xfId="0" applyFont="1" applyFill="1"/>
    <xf numFmtId="43" fontId="37" fillId="0" borderId="12" xfId="0" applyNumberFormat="1" applyFont="1" applyFill="1" applyBorder="1"/>
    <xf numFmtId="165" fontId="34" fillId="0" borderId="6" xfId="2" applyFont="1" applyFill="1" applyBorder="1"/>
    <xf numFmtId="165" fontId="22" fillId="0" borderId="1" xfId="2" applyFont="1" applyFill="1" applyBorder="1"/>
    <xf numFmtId="0" fontId="36" fillId="0" borderId="1" xfId="0" applyFont="1" applyFill="1" applyBorder="1"/>
    <xf numFmtId="0" fontId="30" fillId="0" borderId="0" xfId="0" applyFont="1" applyFill="1"/>
    <xf numFmtId="43" fontId="40" fillId="0" borderId="6" xfId="0" applyNumberFormat="1" applyFont="1" applyFill="1" applyBorder="1"/>
    <xf numFmtId="0" fontId="9" fillId="0" borderId="0" xfId="0" applyFont="1" applyFill="1" applyBorder="1"/>
    <xf numFmtId="0" fontId="4" fillId="0" borderId="0" xfId="0" applyFont="1" applyFill="1" applyBorder="1"/>
    <xf numFmtId="165" fontId="34" fillId="0" borderId="0" xfId="2" applyFont="1" applyFill="1" applyBorder="1"/>
    <xf numFmtId="0" fontId="27" fillId="0" borderId="0" xfId="0" applyFont="1" applyFill="1"/>
    <xf numFmtId="43" fontId="15" fillId="0" borderId="0" xfId="0" applyNumberFormat="1" applyFont="1" applyFill="1" applyBorder="1"/>
    <xf numFmtId="0" fontId="25" fillId="0" borderId="0" xfId="0" applyFont="1" applyFill="1"/>
    <xf numFmtId="165" fontId="15" fillId="0" borderId="6" xfId="2" applyFont="1" applyFill="1" applyBorder="1"/>
    <xf numFmtId="0" fontId="16" fillId="0" borderId="0" xfId="0" applyFont="1" applyFill="1"/>
    <xf numFmtId="0" fontId="26" fillId="0" borderId="0" xfId="0" applyFont="1" applyFill="1"/>
    <xf numFmtId="0" fontId="29" fillId="0" borderId="0" xfId="0" applyFont="1" applyFill="1"/>
    <xf numFmtId="0" fontId="28" fillId="0" borderId="0" xfId="0" applyFont="1" applyFill="1"/>
    <xf numFmtId="0" fontId="31" fillId="0" borderId="0" xfId="0" applyFont="1" applyFill="1"/>
    <xf numFmtId="0" fontId="18" fillId="0" borderId="0" xfId="0" applyFont="1" applyFill="1"/>
    <xf numFmtId="0" fontId="23" fillId="0" borderId="0" xfId="0" applyFont="1" applyFill="1"/>
    <xf numFmtId="43" fontId="3" fillId="0" borderId="0" xfId="0" applyNumberFormat="1" applyFont="1" applyFill="1" applyBorder="1"/>
    <xf numFmtId="43" fontId="15" fillId="0" borderId="10" xfId="0" applyNumberFormat="1" applyFont="1" applyFill="1" applyBorder="1"/>
    <xf numFmtId="0" fontId="25" fillId="0" borderId="0" xfId="0" applyFont="1" applyFill="1" applyBorder="1"/>
    <xf numFmtId="0" fontId="3" fillId="0" borderId="0" xfId="0" applyFont="1" applyFill="1"/>
    <xf numFmtId="0" fontId="5" fillId="0" borderId="0" xfId="0" applyFont="1" applyFill="1" applyBorder="1"/>
    <xf numFmtId="0" fontId="13" fillId="0" borderId="0" xfId="0" applyFont="1" applyFill="1" applyBorder="1"/>
    <xf numFmtId="43" fontId="17" fillId="0" borderId="6" xfId="0" applyNumberFormat="1" applyFont="1" applyFill="1" applyBorder="1"/>
    <xf numFmtId="0" fontId="24" fillId="0" borderId="0" xfId="0" applyFont="1" applyFill="1" applyBorder="1"/>
    <xf numFmtId="0" fontId="42" fillId="0" borderId="0" xfId="0" applyFont="1"/>
    <xf numFmtId="165" fontId="17" fillId="0" borderId="0" xfId="0" applyNumberFormat="1" applyFont="1" applyBorder="1"/>
    <xf numFmtId="165" fontId="40" fillId="0" borderId="0" xfId="0" applyNumberFormat="1" applyFont="1" applyBorder="1"/>
    <xf numFmtId="165" fontId="34" fillId="0" borderId="0" xfId="0" applyNumberFormat="1" applyFont="1" applyBorder="1"/>
    <xf numFmtId="0" fontId="16" fillId="0" borderId="0" xfId="0" applyFont="1" applyFill="1" applyBorder="1"/>
    <xf numFmtId="43" fontId="1" fillId="0" borderId="0" xfId="0" applyNumberFormat="1" applyFont="1" applyFill="1" applyBorder="1"/>
    <xf numFmtId="43" fontId="7" fillId="0" borderId="0" xfId="0" applyNumberFormat="1" applyFont="1" applyFill="1" applyBorder="1"/>
  </cellXfs>
  <cellStyles count="4">
    <cellStyle name="Euro" xfId="1"/>
    <cellStyle name="Millares" xfId="2" builtinId="3"/>
    <cellStyle name="Millares [0]" xfId="3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08" name="AutoShape 184">
          <a:extLst>
            <a:ext uri="{FF2B5EF4-FFF2-40B4-BE49-F238E27FC236}">
              <a16:creationId xmlns:a16="http://schemas.microsoft.com/office/drawing/2014/main" xmlns="" id="{00000000-0008-0000-0000-0000B8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12" name="AutoShape 188">
          <a:extLst>
            <a:ext uri="{FF2B5EF4-FFF2-40B4-BE49-F238E27FC236}">
              <a16:creationId xmlns:a16="http://schemas.microsoft.com/office/drawing/2014/main" xmlns="" id="{00000000-0008-0000-0000-0000BC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16" name="AutoShape 192">
          <a:extLst>
            <a:ext uri="{FF2B5EF4-FFF2-40B4-BE49-F238E27FC236}">
              <a16:creationId xmlns:a16="http://schemas.microsoft.com/office/drawing/2014/main" xmlns="" id="{00000000-0008-0000-0000-0000C0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20" name="AutoShape 196">
          <a:extLst>
            <a:ext uri="{FF2B5EF4-FFF2-40B4-BE49-F238E27FC236}">
              <a16:creationId xmlns:a16="http://schemas.microsoft.com/office/drawing/2014/main" xmlns="" id="{00000000-0008-0000-0000-0000C4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24" name="AutoShape 200">
          <a:extLst>
            <a:ext uri="{FF2B5EF4-FFF2-40B4-BE49-F238E27FC236}">
              <a16:creationId xmlns:a16="http://schemas.microsoft.com/office/drawing/2014/main" xmlns="" id="{00000000-0008-0000-0000-0000C8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2</xdr:col>
      <xdr:colOff>57150</xdr:colOff>
      <xdr:row>0</xdr:row>
      <xdr:rowOff>0</xdr:rowOff>
    </xdr:from>
    <xdr:to>
      <xdr:col>13</xdr:col>
      <xdr:colOff>85725</xdr:colOff>
      <xdr:row>0</xdr:row>
      <xdr:rowOff>0</xdr:rowOff>
    </xdr:to>
    <xdr:sp macro="" textlink="">
      <xdr:nvSpPr>
        <xdr:cNvPr id="1235" name="AutoShape 211">
          <a:extLst>
            <a:ext uri="{FF2B5EF4-FFF2-40B4-BE49-F238E27FC236}">
              <a16:creationId xmlns:a16="http://schemas.microsoft.com/office/drawing/2014/main" xmlns="" id="{00000000-0008-0000-0000-0000D3040000}"/>
            </a:ext>
          </a:extLst>
        </xdr:cNvPr>
        <xdr:cNvSpPr>
          <a:spLocks noChangeArrowheads="1"/>
        </xdr:cNvSpPr>
      </xdr:nvSpPr>
      <xdr:spPr bwMode="auto">
        <a:xfrm>
          <a:off x="952500" y="0"/>
          <a:ext cx="10353675" cy="0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BANCO COMERCIAL................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BANCO COMERCIAL....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CHICA...............................................................             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EFECTIVO........................................................      </a:t>
          </a:r>
        </a:p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CAJA EFECTIVO.................................................................... 100,00</a:t>
          </a:r>
        </a:p>
      </xdr:txBody>
    </xdr:sp>
    <xdr:clientData/>
  </xdr:twoCellAnchor>
  <xdr:twoCellAnchor>
    <xdr:from>
      <xdr:col>0</xdr:col>
      <xdr:colOff>100445</xdr:colOff>
      <xdr:row>416</xdr:row>
      <xdr:rowOff>61479</xdr:rowOff>
    </xdr:from>
    <xdr:to>
      <xdr:col>11</xdr:col>
      <xdr:colOff>51954</xdr:colOff>
      <xdr:row>429</xdr:row>
      <xdr:rowOff>80529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xmlns="" id="{00000000-0008-0000-0000-000070060000}"/>
            </a:ext>
          </a:extLst>
        </xdr:cNvPr>
        <xdr:cNvSpPr>
          <a:spLocks noChangeArrowheads="1"/>
        </xdr:cNvSpPr>
      </xdr:nvSpPr>
      <xdr:spPr bwMode="auto">
        <a:xfrm>
          <a:off x="100445" y="100810002"/>
          <a:ext cx="9718964" cy="2192482"/>
        </a:xfrm>
        <a:prstGeom prst="bevel">
          <a:avLst>
            <a:gd name="adj" fmla="val 125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defRPr sz="1000"/>
          </a:pPr>
          <a:r>
            <a:rPr lang="es-ES" sz="1400" b="1" i="1" u="sng" strike="noStrike">
              <a:solidFill>
                <a:srgbClr val="000000"/>
              </a:solidFill>
              <a:latin typeface="Times New Roman"/>
              <a:cs typeface="Times New Roman"/>
            </a:rPr>
            <a:t>ESTADO DE SITUACION DEL EDIFICIO AL CIERRE DEL EJERCICIO  ANUAL 2023</a:t>
          </a: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s-ES" sz="1200" b="1" i="0" u="sng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DOLARES USA EN CUENTA CORRIENTE SCOTIABANK.........................U$S  </a:t>
          </a: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CUENTA CORRIENTE SOCTIABANK..............  .$       </a:t>
          </a:r>
        </a:p>
        <a:p>
          <a:pPr algn="l" rtl="1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PESOS URUGUAYOS EN CAJA EFECTIVO..................................................$</a:t>
          </a:r>
          <a:r>
            <a:rPr lang="es-ES" sz="12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1">
            <a:defRPr sz="1000"/>
          </a:pPr>
          <a:endParaRPr lang="es-E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2"/>
  <sheetViews>
    <sheetView tabSelected="1" topLeftCell="A249" zoomScale="110" zoomScaleNormal="110" workbookViewId="0">
      <selection activeCell="K224" sqref="K224"/>
    </sheetView>
  </sheetViews>
  <sheetFormatPr baseColWidth="10" defaultRowHeight="12.75" x14ac:dyDescent="0.2"/>
  <cols>
    <col min="1" max="1" width="4.7109375" customWidth="1"/>
    <col min="2" max="2" width="8.7109375" customWidth="1"/>
    <col min="3" max="3" width="7.7109375" customWidth="1"/>
    <col min="4" max="4" width="8.7109375" customWidth="1"/>
    <col min="5" max="5" width="28.7109375" customWidth="1"/>
    <col min="6" max="11" width="14.7109375" customWidth="1"/>
    <col min="12" max="13" width="10.7109375" customWidth="1"/>
    <col min="14" max="15" width="9.7109375" customWidth="1"/>
    <col min="19" max="19" width="12.85546875" bestFit="1" customWidth="1"/>
  </cols>
  <sheetData>
    <row r="1" spans="1:11" ht="27.75" x14ac:dyDescent="0.4">
      <c r="C1" s="4" t="s">
        <v>8</v>
      </c>
      <c r="D1" s="4"/>
      <c r="E1" s="4"/>
      <c r="F1" s="5"/>
      <c r="G1" s="5"/>
      <c r="H1" s="1"/>
    </row>
    <row r="2" spans="1:11" s="43" customFormat="1" x14ac:dyDescent="0.2"/>
    <row r="3" spans="1:11" s="43" customFormat="1" ht="20.25" x14ac:dyDescent="0.3">
      <c r="A3" s="44" t="s">
        <v>300</v>
      </c>
      <c r="B3" s="45"/>
      <c r="C3" s="46"/>
      <c r="D3" s="46"/>
      <c r="E3" s="46"/>
      <c r="F3" s="47"/>
    </row>
    <row r="4" spans="1:11" s="43" customFormat="1" x14ac:dyDescent="0.2"/>
    <row r="5" spans="1:11" s="43" customFormat="1" ht="24.75" x14ac:dyDescent="0.5">
      <c r="A5" s="48" t="s">
        <v>12</v>
      </c>
      <c r="B5" s="49"/>
      <c r="C5" s="49"/>
      <c r="D5" s="49"/>
    </row>
    <row r="6" spans="1:11" s="43" customFormat="1" ht="19.5" x14ac:dyDescent="0.35">
      <c r="A6" s="50" t="s">
        <v>9</v>
      </c>
      <c r="B6" s="51"/>
      <c r="C6" s="51"/>
      <c r="D6" s="51"/>
      <c r="E6" s="51"/>
      <c r="F6" s="52" t="s">
        <v>14</v>
      </c>
      <c r="G6" s="10" t="s">
        <v>15</v>
      </c>
      <c r="H6" s="10" t="s">
        <v>16</v>
      </c>
      <c r="I6" s="10" t="s">
        <v>17</v>
      </c>
      <c r="J6" s="10" t="s">
        <v>18</v>
      </c>
      <c r="K6" s="10" t="s">
        <v>19</v>
      </c>
    </row>
    <row r="7" spans="1:11" s="43" customFormat="1" ht="18.75" x14ac:dyDescent="0.3">
      <c r="A7" s="6" t="s">
        <v>216</v>
      </c>
      <c r="B7" s="6"/>
      <c r="C7" s="6"/>
      <c r="D7" s="6"/>
      <c r="E7" s="6"/>
      <c r="F7" s="53">
        <v>53018</v>
      </c>
      <c r="G7" s="54">
        <v>57735</v>
      </c>
      <c r="H7" s="53">
        <v>70886</v>
      </c>
      <c r="I7" s="53">
        <v>70886</v>
      </c>
      <c r="J7" s="53">
        <v>61720</v>
      </c>
      <c r="K7" s="53">
        <v>61720</v>
      </c>
    </row>
    <row r="8" spans="1:11" s="43" customFormat="1" ht="18.75" x14ac:dyDescent="0.3">
      <c r="A8" s="6" t="s">
        <v>217</v>
      </c>
      <c r="B8" s="6"/>
      <c r="C8" s="6"/>
      <c r="D8" s="6"/>
      <c r="E8" s="6"/>
      <c r="F8" s="53">
        <v>33263</v>
      </c>
      <c r="G8" s="54"/>
      <c r="H8" s="53"/>
      <c r="I8" s="53"/>
      <c r="J8" s="53"/>
      <c r="K8" s="53"/>
    </row>
    <row r="9" spans="1:11" s="43" customFormat="1" ht="18.75" x14ac:dyDescent="0.3">
      <c r="A9" s="6" t="s">
        <v>212</v>
      </c>
      <c r="B9" s="6"/>
      <c r="C9" s="6"/>
      <c r="D9" s="6"/>
      <c r="E9" s="6"/>
      <c r="F9" s="53"/>
      <c r="G9" s="54"/>
      <c r="H9" s="53"/>
      <c r="I9" s="53"/>
      <c r="J9" s="53"/>
      <c r="K9" s="53"/>
    </row>
    <row r="10" spans="1:11" s="43" customFormat="1" ht="18.75" x14ac:dyDescent="0.3">
      <c r="A10" s="6" t="s">
        <v>198</v>
      </c>
      <c r="B10" s="6"/>
      <c r="C10" s="6"/>
      <c r="D10" s="6"/>
      <c r="E10" s="6"/>
      <c r="F10" s="53">
        <v>28557</v>
      </c>
      <c r="G10" s="54">
        <v>45235</v>
      </c>
      <c r="H10" s="53">
        <v>33191</v>
      </c>
      <c r="I10" s="53">
        <v>40532</v>
      </c>
      <c r="J10" s="53">
        <v>38016</v>
      </c>
      <c r="K10" s="53">
        <v>38350</v>
      </c>
    </row>
    <row r="11" spans="1:11" s="43" customFormat="1" ht="18.75" x14ac:dyDescent="0.3">
      <c r="A11" s="6" t="s">
        <v>237</v>
      </c>
      <c r="B11" s="6"/>
      <c r="C11" s="6"/>
      <c r="D11" s="6"/>
      <c r="E11" s="6"/>
      <c r="F11" s="53">
        <f>9501+5155</f>
        <v>14656</v>
      </c>
      <c r="G11" s="54">
        <v>10616</v>
      </c>
      <c r="H11" s="53">
        <v>10851</v>
      </c>
      <c r="I11" s="53">
        <v>10479</v>
      </c>
      <c r="J11" s="53">
        <f>10851</f>
        <v>10851</v>
      </c>
      <c r="K11" s="53">
        <v>12307</v>
      </c>
    </row>
    <row r="12" spans="1:11" s="43" customFormat="1" ht="18.75" x14ac:dyDescent="0.3">
      <c r="A12" s="6" t="s">
        <v>184</v>
      </c>
      <c r="B12" s="6"/>
      <c r="C12" s="6"/>
      <c r="D12" s="6"/>
      <c r="E12" s="6"/>
      <c r="F12" s="53">
        <v>18277</v>
      </c>
      <c r="G12" s="54"/>
      <c r="H12" s="53"/>
      <c r="I12" s="53"/>
      <c r="J12" s="53"/>
      <c r="K12" s="53"/>
    </row>
    <row r="13" spans="1:11" s="43" customFormat="1" ht="18.75" x14ac:dyDescent="0.3">
      <c r="A13" s="6" t="s">
        <v>212</v>
      </c>
      <c r="B13" s="6"/>
      <c r="C13" s="6"/>
      <c r="D13" s="6"/>
      <c r="E13" s="6"/>
      <c r="F13" s="53"/>
      <c r="G13" s="54"/>
      <c r="H13" s="53"/>
      <c r="I13" s="53"/>
      <c r="J13" s="53"/>
      <c r="K13" s="53"/>
    </row>
    <row r="14" spans="1:11" s="43" customFormat="1" ht="18.75" x14ac:dyDescent="0.3">
      <c r="A14" s="6" t="s">
        <v>208</v>
      </c>
      <c r="B14" s="6"/>
      <c r="C14" s="6"/>
      <c r="D14" s="6"/>
      <c r="E14" s="6"/>
      <c r="F14" s="53">
        <v>36300</v>
      </c>
      <c r="G14" s="54">
        <v>37745</v>
      </c>
      <c r="H14" s="53">
        <v>44124</v>
      </c>
      <c r="I14" s="53">
        <v>42191</v>
      </c>
      <c r="J14" s="53">
        <v>36969</v>
      </c>
      <c r="K14" s="53">
        <v>36925</v>
      </c>
    </row>
    <row r="15" spans="1:11" s="43" customFormat="1" ht="18.75" x14ac:dyDescent="0.3">
      <c r="A15" s="6" t="s">
        <v>209</v>
      </c>
      <c r="B15" s="6"/>
      <c r="C15" s="6"/>
      <c r="D15" s="6"/>
      <c r="E15" s="6"/>
      <c r="F15" s="53">
        <v>18128</v>
      </c>
      <c r="G15" s="54"/>
      <c r="H15" s="53"/>
      <c r="I15" s="53"/>
      <c r="J15" s="53"/>
      <c r="K15" s="53"/>
    </row>
    <row r="16" spans="1:11" s="43" customFormat="1" ht="18.75" x14ac:dyDescent="0.3">
      <c r="A16" s="6" t="s">
        <v>212</v>
      </c>
      <c r="B16" s="6"/>
      <c r="C16" s="6"/>
      <c r="D16" s="6"/>
      <c r="E16" s="6"/>
      <c r="F16" s="53"/>
      <c r="G16" s="55"/>
      <c r="H16" s="53"/>
      <c r="I16" s="53"/>
      <c r="J16" s="53"/>
      <c r="K16" s="53"/>
    </row>
    <row r="17" spans="1:11" s="43" customFormat="1" ht="18.75" x14ac:dyDescent="0.3">
      <c r="A17" s="6" t="s">
        <v>263</v>
      </c>
      <c r="B17" s="56"/>
      <c r="C17" s="56"/>
      <c r="D17" s="56"/>
      <c r="E17" s="56"/>
      <c r="F17" s="53">
        <v>34149</v>
      </c>
      <c r="G17" s="54">
        <v>36852</v>
      </c>
      <c r="H17" s="57">
        <v>43985</v>
      </c>
      <c r="I17" s="57">
        <v>40280</v>
      </c>
      <c r="J17" s="57">
        <v>35803</v>
      </c>
      <c r="K17" s="57">
        <v>35629</v>
      </c>
    </row>
    <row r="18" spans="1:11" s="43" customFormat="1" ht="18.75" x14ac:dyDescent="0.3">
      <c r="A18" s="56" t="s">
        <v>264</v>
      </c>
      <c r="B18" s="56"/>
      <c r="C18" s="56"/>
      <c r="D18" s="56"/>
      <c r="E18" s="56"/>
      <c r="F18" s="53">
        <v>17388</v>
      </c>
      <c r="G18" s="54"/>
      <c r="H18" s="57"/>
      <c r="I18" s="57"/>
      <c r="J18" s="57"/>
      <c r="K18" s="57"/>
    </row>
    <row r="19" spans="1:11" s="43" customFormat="1" ht="18.75" x14ac:dyDescent="0.3">
      <c r="A19" s="6" t="s">
        <v>212</v>
      </c>
      <c r="B19" s="56"/>
      <c r="C19" s="56"/>
      <c r="D19" s="56"/>
      <c r="E19" s="56"/>
      <c r="F19" s="53"/>
      <c r="G19" s="54"/>
      <c r="H19" s="57"/>
      <c r="I19" s="57"/>
      <c r="J19" s="57"/>
      <c r="K19" s="57">
        <f>1203+22434</f>
        <v>23637</v>
      </c>
    </row>
    <row r="20" spans="1:11" s="43" customFormat="1" ht="18.75" x14ac:dyDescent="0.3">
      <c r="A20" s="6" t="s">
        <v>232</v>
      </c>
      <c r="B20" s="58"/>
      <c r="C20" s="58"/>
      <c r="D20" s="58"/>
      <c r="E20" s="58"/>
      <c r="F20" s="53">
        <v>31098</v>
      </c>
      <c r="G20" s="54">
        <v>36312</v>
      </c>
      <c r="H20" s="53">
        <v>39335</v>
      </c>
      <c r="I20" s="53">
        <v>36740</v>
      </c>
      <c r="J20" s="53">
        <v>28355</v>
      </c>
      <c r="K20" s="53">
        <v>32200</v>
      </c>
    </row>
    <row r="21" spans="1:11" s="43" customFormat="1" ht="18.75" x14ac:dyDescent="0.3">
      <c r="A21" s="6" t="s">
        <v>233</v>
      </c>
      <c r="B21" s="6"/>
      <c r="C21" s="6"/>
      <c r="D21" s="6"/>
      <c r="E21" s="6"/>
      <c r="F21" s="53">
        <v>15414</v>
      </c>
      <c r="G21" s="55"/>
      <c r="H21" s="53"/>
      <c r="I21" s="53"/>
      <c r="J21" s="53"/>
      <c r="K21" s="53"/>
    </row>
    <row r="22" spans="1:11" s="43" customFormat="1" ht="18.75" x14ac:dyDescent="0.3">
      <c r="A22" s="6" t="s">
        <v>212</v>
      </c>
      <c r="B22" s="6"/>
      <c r="C22" s="6"/>
      <c r="D22" s="6"/>
      <c r="E22" s="6"/>
      <c r="F22" s="53"/>
      <c r="G22" s="54"/>
      <c r="H22" s="53"/>
      <c r="I22" s="53"/>
      <c r="J22" s="53"/>
      <c r="K22" s="53"/>
    </row>
    <row r="23" spans="1:11" s="43" customFormat="1" ht="18.75" x14ac:dyDescent="0.3">
      <c r="A23" s="6" t="s">
        <v>246</v>
      </c>
      <c r="B23" s="6"/>
      <c r="C23" s="6"/>
      <c r="D23" s="6"/>
      <c r="E23" s="6"/>
      <c r="F23" s="53">
        <v>37242</v>
      </c>
      <c r="G23" s="54">
        <v>36572</v>
      </c>
      <c r="H23" s="53">
        <v>46305</v>
      </c>
      <c r="I23" s="53">
        <v>44318</v>
      </c>
      <c r="J23" s="53">
        <v>38666</v>
      </c>
      <c r="K23" s="53">
        <v>39048</v>
      </c>
    </row>
    <row r="24" spans="1:11" s="43" customFormat="1" ht="18.75" x14ac:dyDescent="0.3">
      <c r="A24" s="6" t="s">
        <v>243</v>
      </c>
      <c r="B24" s="6"/>
      <c r="C24" s="6"/>
      <c r="D24" s="6"/>
      <c r="E24" s="6"/>
      <c r="F24" s="53">
        <v>19002</v>
      </c>
      <c r="G24" s="54"/>
      <c r="H24" s="53"/>
      <c r="I24" s="53"/>
      <c r="J24" s="53"/>
      <c r="K24" s="53"/>
    </row>
    <row r="25" spans="1:11" s="43" customFormat="1" ht="18.75" x14ac:dyDescent="0.3">
      <c r="A25" s="6" t="s">
        <v>231</v>
      </c>
      <c r="B25" s="6"/>
      <c r="C25" s="6"/>
      <c r="D25" s="6"/>
      <c r="E25" s="6"/>
      <c r="F25" s="53">
        <v>48491</v>
      </c>
      <c r="G25" s="54">
        <v>49978</v>
      </c>
      <c r="H25" s="53">
        <v>52308</v>
      </c>
      <c r="I25" s="53">
        <v>52308</v>
      </c>
      <c r="J25" s="53">
        <v>52308</v>
      </c>
      <c r="K25" s="53">
        <v>52773</v>
      </c>
    </row>
    <row r="26" spans="1:11" s="43" customFormat="1" ht="18.75" x14ac:dyDescent="0.3">
      <c r="A26" s="6" t="s">
        <v>222</v>
      </c>
      <c r="B26" s="6"/>
      <c r="C26" s="6"/>
      <c r="D26" s="6"/>
      <c r="E26" s="6"/>
      <c r="F26" s="53">
        <v>23045</v>
      </c>
      <c r="G26" s="54"/>
      <c r="H26" s="53"/>
      <c r="I26" s="53"/>
      <c r="J26" s="53"/>
      <c r="K26" s="53"/>
    </row>
    <row r="27" spans="1:11" s="43" customFormat="1" ht="18.75" x14ac:dyDescent="0.3">
      <c r="A27" s="6" t="s">
        <v>212</v>
      </c>
      <c r="B27" s="6"/>
      <c r="C27" s="6"/>
      <c r="D27" s="6"/>
      <c r="E27" s="6"/>
      <c r="F27" s="53"/>
      <c r="G27" s="54"/>
      <c r="H27" s="53"/>
      <c r="I27" s="53"/>
      <c r="J27" s="53"/>
      <c r="K27" s="53"/>
    </row>
    <row r="28" spans="1:11" s="43" customFormat="1" ht="18.75" x14ac:dyDescent="0.3">
      <c r="A28" s="6" t="s">
        <v>24</v>
      </c>
      <c r="B28" s="6"/>
      <c r="C28" s="6"/>
      <c r="D28" s="6"/>
      <c r="E28" s="6"/>
      <c r="F28" s="57">
        <v>36982</v>
      </c>
      <c r="G28" s="54">
        <v>41432</v>
      </c>
      <c r="H28" s="53">
        <v>43086</v>
      </c>
      <c r="I28" s="53">
        <v>43086</v>
      </c>
      <c r="J28" s="53">
        <v>39022</v>
      </c>
      <c r="K28" s="53">
        <v>36855</v>
      </c>
    </row>
    <row r="29" spans="1:11" s="43" customFormat="1" ht="18.75" x14ac:dyDescent="0.3">
      <c r="A29" s="6" t="s">
        <v>23</v>
      </c>
      <c r="B29" s="6"/>
      <c r="C29" s="6"/>
      <c r="D29" s="6"/>
      <c r="E29" s="6"/>
      <c r="F29" s="53">
        <v>19008</v>
      </c>
      <c r="G29" s="54"/>
      <c r="H29" s="53"/>
      <c r="I29" s="53"/>
      <c r="J29" s="53"/>
      <c r="K29" s="53"/>
    </row>
    <row r="30" spans="1:11" s="43" customFormat="1" ht="18.75" x14ac:dyDescent="0.3">
      <c r="A30" s="6" t="s">
        <v>212</v>
      </c>
      <c r="B30" s="56"/>
      <c r="C30" s="56"/>
      <c r="D30" s="56"/>
      <c r="E30" s="56"/>
      <c r="F30" s="53"/>
      <c r="G30" s="54"/>
      <c r="H30" s="57"/>
      <c r="I30" s="57"/>
      <c r="J30" s="57">
        <f>11734+23469</f>
        <v>35203</v>
      </c>
      <c r="K30" s="57"/>
    </row>
    <row r="31" spans="1:11" s="43" customFormat="1" ht="18.75" x14ac:dyDescent="0.3">
      <c r="A31" s="6" t="s">
        <v>219</v>
      </c>
      <c r="B31" s="6"/>
      <c r="C31" s="6"/>
      <c r="D31" s="6"/>
      <c r="E31" s="6"/>
      <c r="F31" s="57">
        <v>37821</v>
      </c>
      <c r="G31" s="55">
        <v>36590</v>
      </c>
      <c r="H31" s="57">
        <v>44145</v>
      </c>
      <c r="I31" s="57">
        <v>44145</v>
      </c>
      <c r="J31" s="57">
        <v>39699</v>
      </c>
      <c r="K31" s="57">
        <v>40092</v>
      </c>
    </row>
    <row r="32" spans="1:11" s="43" customFormat="1" ht="18.75" x14ac:dyDescent="0.3">
      <c r="A32" s="6" t="s">
        <v>220</v>
      </c>
      <c r="B32" s="6"/>
      <c r="C32" s="6"/>
      <c r="D32" s="6"/>
      <c r="E32" s="6"/>
      <c r="F32" s="53">
        <v>19289</v>
      </c>
      <c r="G32" s="54"/>
      <c r="H32" s="53"/>
      <c r="I32" s="53"/>
      <c r="J32" s="53"/>
      <c r="K32" s="53"/>
    </row>
    <row r="33" spans="1:11" s="43" customFormat="1" ht="18.75" x14ac:dyDescent="0.3">
      <c r="A33" s="6" t="s">
        <v>212</v>
      </c>
      <c r="B33" s="6"/>
      <c r="C33" s="6"/>
      <c r="D33" s="6"/>
      <c r="E33" s="6"/>
      <c r="F33" s="53"/>
      <c r="G33" s="54"/>
      <c r="H33" s="53"/>
      <c r="I33" s="53"/>
      <c r="J33" s="53"/>
      <c r="K33" s="53"/>
    </row>
    <row r="34" spans="1:11" s="43" customFormat="1" ht="18.75" x14ac:dyDescent="0.3">
      <c r="A34" s="6" t="s">
        <v>190</v>
      </c>
      <c r="B34" s="6"/>
      <c r="C34" s="6"/>
      <c r="D34" s="6"/>
      <c r="E34" s="6"/>
      <c r="F34" s="53">
        <v>34462</v>
      </c>
      <c r="G34" s="54">
        <v>35378</v>
      </c>
      <c r="H34" s="53">
        <v>41124</v>
      </c>
      <c r="I34" s="53">
        <v>41124</v>
      </c>
      <c r="J34" s="53">
        <v>32877</v>
      </c>
      <c r="K34" s="53">
        <v>36240</v>
      </c>
    </row>
    <row r="35" spans="1:11" s="43" customFormat="1" ht="18.75" x14ac:dyDescent="0.3">
      <c r="A35" s="6" t="s">
        <v>191</v>
      </c>
      <c r="B35" s="6"/>
      <c r="C35" s="6"/>
      <c r="D35" s="6"/>
      <c r="E35" s="6"/>
      <c r="F35" s="53">
        <v>17404</v>
      </c>
      <c r="G35" s="54"/>
      <c r="H35" s="53"/>
      <c r="I35" s="53"/>
      <c r="J35" s="53"/>
      <c r="K35" s="53"/>
    </row>
    <row r="36" spans="1:11" s="43" customFormat="1" ht="18.75" x14ac:dyDescent="0.3">
      <c r="A36" s="6" t="s">
        <v>212</v>
      </c>
      <c r="B36" s="56"/>
      <c r="C36" s="56"/>
      <c r="D36" s="56"/>
      <c r="E36" s="56"/>
      <c r="F36" s="53"/>
      <c r="G36" s="54"/>
      <c r="H36" s="53"/>
      <c r="I36" s="53">
        <f>20192+7398</f>
        <v>27590</v>
      </c>
      <c r="J36" s="53"/>
      <c r="K36" s="53"/>
    </row>
    <row r="37" spans="1:11" s="43" customFormat="1" ht="18.75" x14ac:dyDescent="0.3">
      <c r="A37" s="6" t="s">
        <v>302</v>
      </c>
      <c r="B37" s="6"/>
      <c r="C37" s="6"/>
      <c r="D37" s="6"/>
      <c r="E37" s="6"/>
      <c r="F37" s="53"/>
      <c r="G37" s="54">
        <v>24589</v>
      </c>
      <c r="H37" s="53">
        <f>38934</f>
        <v>38934</v>
      </c>
      <c r="I37" s="53">
        <v>38934</v>
      </c>
      <c r="J37" s="53"/>
      <c r="K37" s="53"/>
    </row>
    <row r="38" spans="1:11" s="43" customFormat="1" ht="18.75" x14ac:dyDescent="0.3">
      <c r="A38" s="6" t="s">
        <v>303</v>
      </c>
      <c r="B38" s="6"/>
      <c r="C38" s="6"/>
      <c r="D38" s="6"/>
      <c r="E38" s="6"/>
      <c r="F38" s="53"/>
      <c r="G38" s="54"/>
      <c r="H38" s="53"/>
      <c r="I38" s="53"/>
      <c r="J38" s="53"/>
      <c r="K38" s="53"/>
    </row>
    <row r="39" spans="1:11" s="43" customFormat="1" ht="18.75" x14ac:dyDescent="0.3">
      <c r="A39" s="6" t="s">
        <v>266</v>
      </c>
      <c r="B39" s="56"/>
      <c r="C39" s="56"/>
      <c r="D39" s="56"/>
      <c r="E39" s="56"/>
      <c r="F39" s="53"/>
      <c r="G39" s="54"/>
      <c r="H39" s="53"/>
      <c r="I39" s="53">
        <v>17687</v>
      </c>
      <c r="J39" s="53"/>
      <c r="K39" s="53"/>
    </row>
    <row r="40" spans="1:11" s="43" customFormat="1" ht="18.75" x14ac:dyDescent="0.3">
      <c r="A40" s="6" t="s">
        <v>250</v>
      </c>
      <c r="B40" s="6"/>
      <c r="C40" s="6"/>
      <c r="D40" s="6"/>
      <c r="E40" s="6"/>
      <c r="F40" s="53">
        <v>31690</v>
      </c>
      <c r="G40" s="54">
        <v>29755</v>
      </c>
      <c r="H40" s="53">
        <v>38167</v>
      </c>
      <c r="I40" s="53">
        <v>37318</v>
      </c>
      <c r="J40" s="53">
        <v>31847</v>
      </c>
      <c r="K40" s="53">
        <v>31163</v>
      </c>
    </row>
    <row r="41" spans="1:11" s="43" customFormat="1" ht="18.75" x14ac:dyDescent="0.3">
      <c r="A41" s="6" t="s">
        <v>251</v>
      </c>
      <c r="B41" s="6"/>
      <c r="C41" s="6"/>
      <c r="D41" s="6"/>
      <c r="E41" s="6"/>
      <c r="F41" s="53">
        <v>15756</v>
      </c>
      <c r="G41" s="54"/>
      <c r="H41" s="53"/>
      <c r="I41" s="53"/>
      <c r="J41" s="53"/>
      <c r="K41" s="53"/>
    </row>
    <row r="42" spans="1:11" s="43" customFormat="1" ht="18.75" x14ac:dyDescent="0.3">
      <c r="A42" s="6" t="s">
        <v>212</v>
      </c>
      <c r="B42" s="56"/>
      <c r="C42" s="56"/>
      <c r="D42" s="56"/>
      <c r="E42" s="56"/>
      <c r="F42" s="53"/>
      <c r="G42" s="54"/>
      <c r="H42" s="53"/>
      <c r="I42" s="53"/>
      <c r="J42" s="53">
        <f>19019+2194</f>
        <v>21213</v>
      </c>
      <c r="K42" s="53"/>
    </row>
    <row r="43" spans="1:11" s="43" customFormat="1" ht="18.75" x14ac:dyDescent="0.3">
      <c r="A43" s="6" t="s">
        <v>283</v>
      </c>
      <c r="B43" s="6"/>
      <c r="C43" s="6"/>
      <c r="D43" s="6"/>
      <c r="E43" s="6"/>
      <c r="F43" s="53"/>
      <c r="G43" s="54"/>
      <c r="H43" s="53"/>
      <c r="I43" s="53"/>
      <c r="J43" s="53"/>
      <c r="K43" s="53"/>
    </row>
    <row r="44" spans="1:11" s="43" customFormat="1" ht="18.75" x14ac:dyDescent="0.3">
      <c r="A44" s="6" t="s">
        <v>284</v>
      </c>
      <c r="B44" s="6"/>
      <c r="C44" s="6"/>
      <c r="D44" s="6"/>
      <c r="E44" s="6"/>
      <c r="F44" s="53"/>
      <c r="G44" s="54"/>
      <c r="H44" s="53"/>
      <c r="I44" s="53"/>
      <c r="J44" s="53"/>
      <c r="K44" s="53"/>
    </row>
    <row r="45" spans="1:11" s="43" customFormat="1" ht="18.75" x14ac:dyDescent="0.3">
      <c r="A45" s="6" t="s">
        <v>285</v>
      </c>
      <c r="B45" s="6"/>
      <c r="C45" s="6"/>
      <c r="D45" s="6"/>
      <c r="E45" s="6"/>
      <c r="F45" s="53"/>
      <c r="G45" s="54">
        <v>9155</v>
      </c>
      <c r="H45" s="53">
        <v>23141</v>
      </c>
      <c r="I45" s="53">
        <v>23141</v>
      </c>
      <c r="J45" s="53"/>
      <c r="K45" s="53"/>
    </row>
    <row r="46" spans="1:11" s="43" customFormat="1" ht="18.75" x14ac:dyDescent="0.3">
      <c r="A46" s="6" t="s">
        <v>265</v>
      </c>
      <c r="B46" s="6"/>
      <c r="C46" s="6"/>
      <c r="D46" s="6"/>
      <c r="E46" s="6"/>
      <c r="F46" s="53"/>
      <c r="G46" s="54"/>
      <c r="H46" s="53"/>
      <c r="I46" s="53">
        <v>11672</v>
      </c>
      <c r="J46" s="53"/>
      <c r="K46" s="53"/>
    </row>
    <row r="47" spans="1:11" s="43" customFormat="1" ht="18.75" x14ac:dyDescent="0.3">
      <c r="A47" s="56" t="s">
        <v>199</v>
      </c>
      <c r="B47" s="56"/>
      <c r="C47" s="56"/>
      <c r="D47" s="56"/>
      <c r="E47" s="56"/>
      <c r="F47" s="53"/>
      <c r="G47" s="54">
        <v>17682</v>
      </c>
      <c r="H47" s="53">
        <v>42005</v>
      </c>
      <c r="I47" s="53">
        <v>41028</v>
      </c>
      <c r="J47" s="53"/>
      <c r="K47" s="53"/>
    </row>
    <row r="48" spans="1:11" s="43" customFormat="1" ht="18.75" x14ac:dyDescent="0.3">
      <c r="A48" s="6" t="s">
        <v>242</v>
      </c>
      <c r="B48" s="6"/>
      <c r="C48" s="6"/>
      <c r="D48" s="6"/>
      <c r="E48" s="6"/>
      <c r="F48" s="53"/>
      <c r="G48" s="54"/>
      <c r="H48" s="53"/>
      <c r="I48" s="53">
        <v>17472</v>
      </c>
      <c r="J48" s="53"/>
      <c r="K48" s="53"/>
    </row>
    <row r="49" spans="1:11" s="43" customFormat="1" ht="18.75" x14ac:dyDescent="0.3">
      <c r="A49" s="6" t="s">
        <v>25</v>
      </c>
      <c r="B49" s="6"/>
      <c r="C49" s="6"/>
      <c r="D49" s="6"/>
      <c r="E49" s="6"/>
      <c r="F49" s="53">
        <v>57309</v>
      </c>
      <c r="G49" s="54">
        <v>57813</v>
      </c>
      <c r="H49" s="53">
        <v>59079</v>
      </c>
      <c r="I49" s="54">
        <v>59079</v>
      </c>
      <c r="J49" s="53">
        <v>57852</v>
      </c>
      <c r="K49" s="59">
        <v>60030</v>
      </c>
    </row>
    <row r="50" spans="1:11" s="43" customFormat="1" ht="18.75" x14ac:dyDescent="0.3">
      <c r="A50" s="6" t="s">
        <v>257</v>
      </c>
      <c r="B50" s="6"/>
      <c r="C50" s="6"/>
      <c r="D50" s="6"/>
      <c r="E50" s="6"/>
      <c r="F50" s="54">
        <f>6922+13200+13200+14734+735</f>
        <v>48791</v>
      </c>
      <c r="G50" s="54">
        <f>3953+10520+4149+800+4392</f>
        <v>23814</v>
      </c>
      <c r="H50" s="53"/>
      <c r="I50" s="53">
        <f>4149+26490+13826</f>
        <v>44465</v>
      </c>
      <c r="J50" s="53">
        <f>9307</f>
        <v>9307</v>
      </c>
      <c r="K50" s="53">
        <f>7180+23100</f>
        <v>30280</v>
      </c>
    </row>
    <row r="51" spans="1:11" s="43" customFormat="1" ht="18.75" x14ac:dyDescent="0.3">
      <c r="A51" s="6" t="s">
        <v>27</v>
      </c>
      <c r="B51" s="6"/>
      <c r="C51" s="6"/>
      <c r="D51" s="6"/>
      <c r="E51" s="6"/>
      <c r="F51" s="53">
        <f>27081+186336</f>
        <v>213417</v>
      </c>
      <c r="G51" s="54">
        <f>289599+35280</f>
        <v>324879</v>
      </c>
      <c r="H51" s="53">
        <f>29565+266415</f>
        <v>295980</v>
      </c>
      <c r="I51" s="53">
        <f>267266+29941</f>
        <v>297207</v>
      </c>
      <c r="J51" s="53">
        <f>17498+190382</f>
        <v>207880</v>
      </c>
      <c r="K51" s="53">
        <f>192206+18736</f>
        <v>210942</v>
      </c>
    </row>
    <row r="52" spans="1:11" s="43" customFormat="1" ht="18.75" x14ac:dyDescent="0.3">
      <c r="A52" s="6" t="s">
        <v>26</v>
      </c>
      <c r="B52" s="6"/>
      <c r="C52" s="6"/>
      <c r="D52" s="6"/>
      <c r="E52" s="6"/>
      <c r="F52" s="53">
        <v>13196</v>
      </c>
      <c r="G52" s="54">
        <v>13249</v>
      </c>
      <c r="H52" s="53">
        <f>21733</f>
        <v>21733</v>
      </c>
      <c r="I52" s="53">
        <v>18566</v>
      </c>
      <c r="J52" s="53">
        <v>18707</v>
      </c>
      <c r="K52" s="53">
        <v>12853</v>
      </c>
    </row>
    <row r="53" spans="1:11" s="43" customFormat="1" ht="18.75" x14ac:dyDescent="0.3">
      <c r="A53" s="6" t="s">
        <v>44</v>
      </c>
      <c r="B53" s="6"/>
      <c r="C53" s="6"/>
      <c r="D53" s="6"/>
      <c r="E53" s="6"/>
      <c r="F53" s="53">
        <v>38984</v>
      </c>
      <c r="G53" s="54"/>
      <c r="H53" s="53"/>
      <c r="I53" s="53"/>
      <c r="J53" s="53"/>
      <c r="K53" s="53"/>
    </row>
    <row r="54" spans="1:11" s="43" customFormat="1" ht="18.75" x14ac:dyDescent="0.3">
      <c r="A54" s="6" t="s">
        <v>45</v>
      </c>
      <c r="B54" s="6"/>
      <c r="C54" s="6"/>
      <c r="D54" s="6"/>
      <c r="E54" s="6"/>
      <c r="F54" s="53">
        <f>1500*11</f>
        <v>16500</v>
      </c>
      <c r="G54" s="54"/>
      <c r="H54" s="53"/>
      <c r="I54" s="53"/>
      <c r="J54" s="53"/>
      <c r="K54" s="53"/>
    </row>
    <row r="55" spans="1:11" s="43" customFormat="1" ht="18.75" x14ac:dyDescent="0.3">
      <c r="A55" s="6" t="s">
        <v>28</v>
      </c>
      <c r="B55" s="6"/>
      <c r="C55" s="6"/>
      <c r="D55" s="6"/>
      <c r="E55" s="6"/>
      <c r="F55" s="53">
        <f>13824+5367+30134+2049+3687</f>
        <v>55061</v>
      </c>
      <c r="G55" s="54">
        <f>19085+49523+28674+4747+6570</f>
        <v>108599</v>
      </c>
      <c r="H55" s="53">
        <f>17624+55949+8223+5951+40521</f>
        <v>128268</v>
      </c>
      <c r="I55" s="34">
        <f>10527+54451+31142+4894+6646</f>
        <v>107660</v>
      </c>
      <c r="J55" s="53">
        <f>10415+17756+27694+4791+6498</f>
        <v>67154</v>
      </c>
      <c r="K55" s="53">
        <f>26445+9840+5545+4547+8587</f>
        <v>54964</v>
      </c>
    </row>
    <row r="56" spans="1:11" s="43" customFormat="1" ht="18.75" x14ac:dyDescent="0.3">
      <c r="A56" s="6" t="s">
        <v>29</v>
      </c>
      <c r="B56" s="6"/>
      <c r="C56" s="6"/>
      <c r="D56" s="6"/>
      <c r="E56" s="6"/>
      <c r="F56" s="53">
        <f>3000.98+8011.12+4943.19</f>
        <v>15955.29</v>
      </c>
      <c r="G56" s="54">
        <f>2966.56+4993.44+8657.38</f>
        <v>16617.379999999997</v>
      </c>
      <c r="H56" s="53">
        <f>5139.01+8508.86+2976.4</f>
        <v>16624.27</v>
      </c>
      <c r="I56" s="53">
        <f>5220.66+8569.84+3045.24</f>
        <v>16835.739999999998</v>
      </c>
      <c r="J56" s="53">
        <f>5208+8548+3096</f>
        <v>16852</v>
      </c>
      <c r="K56" s="53">
        <f>3096+5185+8551</f>
        <v>16832</v>
      </c>
    </row>
    <row r="57" spans="1:11" s="43" customFormat="1" ht="18.75" x14ac:dyDescent="0.3">
      <c r="A57" s="6" t="s">
        <v>30</v>
      </c>
      <c r="B57" s="6"/>
      <c r="C57" s="6"/>
      <c r="D57" s="6"/>
      <c r="E57" s="6"/>
      <c r="F57" s="53">
        <v>254518.41</v>
      </c>
      <c r="G57" s="54">
        <v>231984</v>
      </c>
      <c r="H57" s="53">
        <v>244514</v>
      </c>
      <c r="I57" s="53">
        <v>280085.37</v>
      </c>
      <c r="J57" s="53">
        <v>247528.37</v>
      </c>
      <c r="K57" s="53">
        <v>247529</v>
      </c>
    </row>
    <row r="58" spans="1:11" s="43" customFormat="1" ht="18.75" x14ac:dyDescent="0.3">
      <c r="A58" s="6" t="s">
        <v>31</v>
      </c>
      <c r="B58" s="6"/>
      <c r="C58" s="6"/>
      <c r="D58" s="6"/>
      <c r="E58" s="6"/>
      <c r="F58" s="53">
        <v>1874</v>
      </c>
      <c r="G58" s="54"/>
      <c r="H58" s="53"/>
      <c r="I58" s="53"/>
      <c r="J58" s="53">
        <f>3039</f>
        <v>3039</v>
      </c>
      <c r="K58" s="53"/>
    </row>
    <row r="59" spans="1:11" s="43" customFormat="1" ht="18.75" x14ac:dyDescent="0.3">
      <c r="A59" s="6" t="s">
        <v>32</v>
      </c>
      <c r="B59" s="6"/>
      <c r="C59" s="6"/>
      <c r="D59" s="6"/>
      <c r="E59" s="6"/>
      <c r="F59" s="53">
        <v>45587</v>
      </c>
      <c r="G59" s="54">
        <v>45587</v>
      </c>
      <c r="H59" s="53">
        <v>45587</v>
      </c>
      <c r="I59" s="53">
        <v>45587</v>
      </c>
      <c r="J59" s="53">
        <v>45587</v>
      </c>
      <c r="K59" s="53">
        <v>45587</v>
      </c>
    </row>
    <row r="60" spans="1:11" s="43" customFormat="1" ht="18.75" x14ac:dyDescent="0.3">
      <c r="A60" s="6" t="s">
        <v>268</v>
      </c>
      <c r="B60" s="6"/>
      <c r="C60" s="6"/>
      <c r="D60" s="6"/>
      <c r="E60" s="6"/>
      <c r="F60" s="53">
        <f>1660.57+498.59+1092.45</f>
        <v>3251.6099999999997</v>
      </c>
      <c r="G60" s="54">
        <f>82.32+83.97+83.96+167.87+83.86+83.86+85+1089.58</f>
        <v>1760.42</v>
      </c>
      <c r="H60" s="53">
        <f>83.8+82.1+1102.96</f>
        <v>1268.8600000000001</v>
      </c>
      <c r="I60" s="34">
        <f>83.24+83.24+83.4+83.43+83.43+166.96+83.62+83.64+83.64+83.67+85.38+83.7+83.7+83.78+83.78+85.52+83.97+1115.26</f>
        <v>2623.3599999999997</v>
      </c>
      <c r="J60" s="60">
        <f>85.87+85.87+86.34+86.34+84.56+86.47+1125.42</f>
        <v>1640.8700000000001</v>
      </c>
      <c r="K60" s="68">
        <f>85.03+85.25+1134.2</f>
        <v>1304.48</v>
      </c>
    </row>
    <row r="61" spans="1:11" s="43" customFormat="1" ht="18.75" x14ac:dyDescent="0.3">
      <c r="A61" s="6" t="s">
        <v>40</v>
      </c>
      <c r="B61" s="6"/>
      <c r="C61" s="6"/>
      <c r="D61" s="6"/>
      <c r="E61" s="6"/>
      <c r="F61" s="53"/>
      <c r="G61" s="54"/>
      <c r="H61" s="53"/>
      <c r="I61" s="53"/>
      <c r="J61" s="53"/>
      <c r="K61" s="53"/>
    </row>
    <row r="62" spans="1:11" s="43" customFormat="1" ht="18.75" x14ac:dyDescent="0.3">
      <c r="A62" s="6" t="s">
        <v>35</v>
      </c>
      <c r="B62" s="6"/>
      <c r="C62" s="6"/>
      <c r="D62" s="6"/>
      <c r="E62" s="6"/>
      <c r="F62" s="53"/>
      <c r="G62" s="54"/>
      <c r="H62" s="53"/>
      <c r="I62" s="60">
        <f>2400</f>
        <v>2400</v>
      </c>
      <c r="J62" s="53"/>
      <c r="K62" s="53"/>
    </row>
    <row r="63" spans="1:11" s="43" customFormat="1" ht="18.75" x14ac:dyDescent="0.3">
      <c r="A63" s="6" t="s">
        <v>36</v>
      </c>
      <c r="B63" s="6"/>
      <c r="C63" s="6"/>
      <c r="D63" s="6"/>
      <c r="E63" s="6"/>
      <c r="F63" s="54">
        <v>399950</v>
      </c>
      <c r="G63" s="54">
        <v>399999</v>
      </c>
      <c r="H63" s="53">
        <v>399999</v>
      </c>
      <c r="I63" s="53">
        <v>399999</v>
      </c>
      <c r="J63" s="53">
        <v>399999</v>
      </c>
      <c r="K63" s="53">
        <v>399999</v>
      </c>
    </row>
    <row r="64" spans="1:11" s="43" customFormat="1" ht="18.75" x14ac:dyDescent="0.3">
      <c r="A64" s="6" t="s">
        <v>271</v>
      </c>
      <c r="B64" s="6"/>
      <c r="C64" s="6"/>
      <c r="D64" s="6"/>
      <c r="E64" s="6"/>
      <c r="F64" s="54">
        <v>87989</v>
      </c>
      <c r="G64" s="54">
        <v>88000</v>
      </c>
      <c r="H64" s="53">
        <v>88000</v>
      </c>
      <c r="I64" s="53">
        <v>88000</v>
      </c>
      <c r="J64" s="53">
        <v>88000</v>
      </c>
      <c r="K64" s="53">
        <v>88000</v>
      </c>
    </row>
    <row r="65" spans="1:11" s="43" customFormat="1" ht="18.75" x14ac:dyDescent="0.3">
      <c r="A65" s="6" t="s">
        <v>301</v>
      </c>
      <c r="B65" s="6"/>
      <c r="C65" s="6"/>
      <c r="D65" s="6"/>
      <c r="E65" s="6"/>
      <c r="F65" s="53">
        <f>1225+21000</f>
        <v>22225</v>
      </c>
      <c r="G65" s="54">
        <f>21000</f>
        <v>21000</v>
      </c>
      <c r="H65" s="53">
        <f>21000</f>
        <v>21000</v>
      </c>
      <c r="I65" s="53">
        <f>21000+4591</f>
        <v>25591</v>
      </c>
      <c r="J65" s="53">
        <f>21000</f>
        <v>21000</v>
      </c>
      <c r="K65" s="53">
        <v>21000</v>
      </c>
    </row>
    <row r="66" spans="1:11" s="43" customFormat="1" ht="18.75" x14ac:dyDescent="0.3">
      <c r="A66" s="6" t="s">
        <v>38</v>
      </c>
      <c r="B66" s="6"/>
      <c r="C66" s="6"/>
      <c r="D66" s="6"/>
      <c r="E66" s="6"/>
      <c r="F66" s="53">
        <v>60000</v>
      </c>
      <c r="G66" s="54"/>
      <c r="H66" s="53"/>
      <c r="I66" s="53">
        <f>23000</f>
        <v>23000</v>
      </c>
      <c r="J66" s="53">
        <v>15000</v>
      </c>
      <c r="K66" s="53"/>
    </row>
    <row r="67" spans="1:11" s="43" customFormat="1" ht="18.75" x14ac:dyDescent="0.3">
      <c r="A67" s="6" t="s">
        <v>34</v>
      </c>
      <c r="B67" s="6"/>
      <c r="C67" s="6"/>
      <c r="D67" s="6"/>
      <c r="E67" s="6"/>
      <c r="F67" s="53"/>
      <c r="G67" s="54"/>
      <c r="H67" s="53">
        <f>33320</f>
        <v>33320</v>
      </c>
      <c r="I67" s="53"/>
      <c r="J67" s="53"/>
      <c r="K67" s="53"/>
    </row>
    <row r="68" spans="1:11" s="43" customFormat="1" ht="18.75" x14ac:dyDescent="0.3">
      <c r="A68" s="6" t="s">
        <v>200</v>
      </c>
      <c r="B68" s="6"/>
      <c r="C68" s="6"/>
      <c r="D68" s="6"/>
      <c r="E68" s="6"/>
      <c r="F68" s="53"/>
      <c r="G68" s="54"/>
      <c r="H68" s="53"/>
      <c r="I68" s="53"/>
      <c r="J68" s="53"/>
      <c r="K68" s="53"/>
    </row>
    <row r="69" spans="1:11" s="43" customFormat="1" ht="18.75" x14ac:dyDescent="0.3">
      <c r="A69" s="6" t="s">
        <v>37</v>
      </c>
      <c r="B69" s="6"/>
      <c r="C69" s="6"/>
      <c r="D69" s="6"/>
      <c r="E69" s="6"/>
      <c r="F69" s="53"/>
      <c r="G69" s="54"/>
      <c r="H69" s="53"/>
      <c r="I69" s="53"/>
      <c r="J69" s="53"/>
      <c r="K69" s="53"/>
    </row>
    <row r="70" spans="1:11" s="43" customFormat="1" ht="18.75" x14ac:dyDescent="0.3">
      <c r="A70" s="61" t="s">
        <v>201</v>
      </c>
      <c r="B70" s="62"/>
      <c r="C70" s="62"/>
      <c r="D70" s="62"/>
      <c r="E70" s="62"/>
      <c r="F70" s="53"/>
      <c r="G70" s="54"/>
      <c r="H70" s="53"/>
      <c r="I70" s="53"/>
      <c r="J70" s="53"/>
      <c r="K70" s="53"/>
    </row>
    <row r="71" spans="1:11" s="43" customFormat="1" ht="18.75" x14ac:dyDescent="0.3">
      <c r="A71" s="6" t="s">
        <v>194</v>
      </c>
      <c r="B71" s="6"/>
      <c r="C71" s="6"/>
      <c r="D71" s="6"/>
      <c r="E71" s="6"/>
      <c r="F71" s="53"/>
      <c r="G71" s="54">
        <f>3900</f>
        <v>3900</v>
      </c>
      <c r="H71" s="53"/>
      <c r="I71" s="53"/>
      <c r="J71" s="53">
        <f>2500</f>
        <v>2500</v>
      </c>
      <c r="K71" s="53">
        <f>5751.15+8703.94+14055.74+7574.76</f>
        <v>36085.590000000004</v>
      </c>
    </row>
    <row r="72" spans="1:11" s="43" customFormat="1" ht="18.75" x14ac:dyDescent="0.3">
      <c r="A72" s="6" t="s">
        <v>193</v>
      </c>
      <c r="B72" s="6"/>
      <c r="C72" s="6"/>
      <c r="D72" s="6"/>
      <c r="E72" s="6"/>
      <c r="F72" s="53">
        <f>50000+96735.93+205.57+2047+10843.39</f>
        <v>159831.89000000001</v>
      </c>
      <c r="G72" s="54">
        <f>24556+15772+274+9631+13808+1531.78+20672</f>
        <v>86244.78</v>
      </c>
      <c r="H72" s="53">
        <f>12816+11419+10151</f>
        <v>34386</v>
      </c>
      <c r="I72" s="53"/>
      <c r="J72" s="53">
        <f>21926</f>
        <v>21926</v>
      </c>
      <c r="K72" s="53"/>
    </row>
    <row r="73" spans="1:11" s="43" customFormat="1" ht="18.75" x14ac:dyDescent="0.3">
      <c r="A73" s="6" t="s">
        <v>287</v>
      </c>
      <c r="B73" s="6"/>
      <c r="C73" s="6"/>
      <c r="D73" s="6"/>
      <c r="E73" s="6"/>
      <c r="F73" s="53">
        <f>429.84+978.69+5124+4915.08</f>
        <v>11447.61</v>
      </c>
      <c r="G73" s="54">
        <f>1211.8+1349.51+779.02+88623.36</f>
        <v>91963.69</v>
      </c>
      <c r="H73" s="53"/>
      <c r="I73" s="53">
        <f>2702.21+12840</f>
        <v>15542.21</v>
      </c>
      <c r="J73" s="53">
        <f>5312.65+10428+1974.1</f>
        <v>17714.75</v>
      </c>
      <c r="K73" s="53">
        <f>2924.26+14256</f>
        <v>17180.260000000002</v>
      </c>
    </row>
    <row r="74" spans="1:11" s="43" customFormat="1" ht="18.75" x14ac:dyDescent="0.3">
      <c r="A74" s="6" t="s">
        <v>41</v>
      </c>
      <c r="B74" s="6"/>
      <c r="C74" s="6"/>
      <c r="D74" s="6"/>
      <c r="E74" s="6"/>
      <c r="F74" s="68">
        <f>6956+6291+10577+90835+15572</f>
        <v>130231</v>
      </c>
      <c r="G74" s="60">
        <v>53930</v>
      </c>
      <c r="H74" s="53"/>
      <c r="I74" s="53">
        <f>168987</f>
        <v>168987</v>
      </c>
      <c r="J74" s="53">
        <f>6291+21352</f>
        <v>27643</v>
      </c>
      <c r="K74" s="53"/>
    </row>
    <row r="75" spans="1:11" s="43" customFormat="1" ht="18.75" x14ac:dyDescent="0.3">
      <c r="A75" s="6" t="s">
        <v>174</v>
      </c>
      <c r="B75" s="6"/>
      <c r="C75" s="6"/>
      <c r="D75" s="6"/>
      <c r="E75" s="6"/>
      <c r="F75" s="53">
        <f>23000+25000+20000</f>
        <v>68000</v>
      </c>
      <c r="G75" s="54">
        <f>25000</f>
        <v>25000</v>
      </c>
      <c r="H75" s="53"/>
      <c r="I75" s="53"/>
      <c r="J75" s="53"/>
      <c r="K75" s="53">
        <f>15000+7610+1537+2661+3692+1294+854+820+2198</f>
        <v>35666</v>
      </c>
    </row>
    <row r="76" spans="1:11" s="43" customFormat="1" ht="18.75" x14ac:dyDescent="0.3">
      <c r="A76" s="6" t="s">
        <v>42</v>
      </c>
      <c r="B76" s="6"/>
      <c r="C76" s="6"/>
      <c r="D76" s="6"/>
      <c r="E76" s="6"/>
      <c r="F76" s="53"/>
      <c r="G76" s="54">
        <f>6000</f>
        <v>6000</v>
      </c>
      <c r="H76" s="53"/>
      <c r="I76" s="53"/>
      <c r="J76" s="53"/>
      <c r="K76" s="53">
        <f>3600</f>
        <v>3600</v>
      </c>
    </row>
    <row r="77" spans="1:11" s="43" customFormat="1" ht="18.75" x14ac:dyDescent="0.3">
      <c r="A77" s="6" t="s">
        <v>43</v>
      </c>
      <c r="B77" s="6"/>
      <c r="C77" s="6"/>
      <c r="D77" s="6"/>
      <c r="E77" s="6"/>
      <c r="F77" s="53">
        <f>3000</f>
        <v>3000</v>
      </c>
      <c r="G77" s="54"/>
      <c r="H77" s="53"/>
      <c r="I77" s="53"/>
      <c r="J77" s="53"/>
      <c r="K77" s="53"/>
    </row>
    <row r="78" spans="1:11" s="43" customFormat="1" ht="18.75" x14ac:dyDescent="0.3">
      <c r="A78" s="6" t="s">
        <v>305</v>
      </c>
      <c r="B78" s="6"/>
      <c r="C78" s="6"/>
      <c r="D78" s="6"/>
      <c r="E78" s="6"/>
      <c r="F78" s="53"/>
      <c r="G78" s="54"/>
      <c r="H78" s="53"/>
      <c r="I78" s="53">
        <f>43570.02+49263.6</f>
        <v>92833.62</v>
      </c>
      <c r="J78" s="53"/>
      <c r="K78" s="53"/>
    </row>
    <row r="79" spans="1:11" s="43" customFormat="1" ht="18.75" x14ac:dyDescent="0.3">
      <c r="A79" s="6" t="s">
        <v>46</v>
      </c>
      <c r="B79" s="6"/>
      <c r="C79" s="6"/>
      <c r="D79" s="6"/>
      <c r="E79" s="6"/>
      <c r="F79" s="53"/>
      <c r="G79" s="54"/>
      <c r="H79" s="53"/>
      <c r="I79" s="53"/>
      <c r="J79" s="53"/>
      <c r="K79" s="53"/>
    </row>
    <row r="80" spans="1:11" s="43" customFormat="1" ht="18.75" x14ac:dyDescent="0.3">
      <c r="A80" s="6" t="s">
        <v>248</v>
      </c>
      <c r="B80" s="6"/>
      <c r="C80" s="6"/>
      <c r="D80" s="6"/>
      <c r="E80" s="6"/>
      <c r="F80" s="53">
        <f>3000</f>
        <v>3000</v>
      </c>
      <c r="G80" s="54"/>
      <c r="H80" s="53"/>
      <c r="I80" s="53"/>
      <c r="J80" s="53"/>
      <c r="K80" s="53"/>
    </row>
    <row r="81" spans="1:11" s="43" customFormat="1" ht="18.75" x14ac:dyDescent="0.3">
      <c r="A81" s="6" t="s">
        <v>48</v>
      </c>
      <c r="B81" s="6"/>
      <c r="C81" s="6"/>
      <c r="D81" s="6"/>
      <c r="E81" s="6"/>
      <c r="F81" s="53">
        <v>4392</v>
      </c>
      <c r="G81" s="54"/>
      <c r="H81" s="53"/>
      <c r="I81" s="53"/>
      <c r="J81" s="53"/>
      <c r="K81" s="53"/>
    </row>
    <row r="82" spans="1:11" s="43" customFormat="1" ht="18.75" x14ac:dyDescent="0.3">
      <c r="A82" s="6" t="s">
        <v>49</v>
      </c>
      <c r="B82" s="6"/>
      <c r="C82" s="6"/>
      <c r="D82" s="6"/>
      <c r="E82" s="6"/>
      <c r="F82" s="53"/>
      <c r="G82" s="54">
        <v>184096</v>
      </c>
      <c r="H82" s="53"/>
      <c r="I82" s="53"/>
      <c r="J82" s="53"/>
      <c r="K82" s="53"/>
    </row>
    <row r="83" spans="1:11" s="43" customFormat="1" ht="18.75" x14ac:dyDescent="0.3">
      <c r="A83" s="6" t="s">
        <v>238</v>
      </c>
      <c r="B83" s="6"/>
      <c r="C83" s="6"/>
      <c r="D83" s="6"/>
      <c r="E83" s="6"/>
      <c r="F83" s="53">
        <f>19300+2000</f>
        <v>21300</v>
      </c>
      <c r="G83" s="54"/>
      <c r="H83" s="53"/>
      <c r="I83" s="53"/>
      <c r="J83" s="53"/>
      <c r="K83" s="53"/>
    </row>
    <row r="84" spans="1:11" s="43" customFormat="1" ht="18.75" x14ac:dyDescent="0.3">
      <c r="A84" s="6" t="s">
        <v>256</v>
      </c>
      <c r="B84" s="6"/>
      <c r="C84" s="6"/>
      <c r="D84" s="6"/>
      <c r="E84" s="6"/>
      <c r="F84" s="53">
        <f>33000+19000+287.21+56886</f>
        <v>109173.20999999999</v>
      </c>
      <c r="G84" s="54">
        <f>9500</f>
        <v>9500</v>
      </c>
      <c r="H84" s="53">
        <f>9000</f>
        <v>9000</v>
      </c>
      <c r="I84" s="53">
        <f>69033</f>
        <v>69033</v>
      </c>
      <c r="J84" s="53">
        <f>8500</f>
        <v>8500</v>
      </c>
      <c r="K84" s="53">
        <f>15000</f>
        <v>15000</v>
      </c>
    </row>
    <row r="85" spans="1:11" s="43" customFormat="1" ht="18.75" x14ac:dyDescent="0.3">
      <c r="A85" s="6" t="s">
        <v>187</v>
      </c>
      <c r="B85" s="6"/>
      <c r="C85" s="6"/>
      <c r="D85" s="6"/>
      <c r="E85" s="6"/>
      <c r="F85" s="53">
        <v>92000</v>
      </c>
      <c r="G85" s="54"/>
      <c r="H85" s="53">
        <f>46000</f>
        <v>46000</v>
      </c>
      <c r="I85" s="53"/>
      <c r="J85" s="53"/>
      <c r="K85" s="53"/>
    </row>
    <row r="86" spans="1:11" s="43" customFormat="1" ht="18.75" x14ac:dyDescent="0.3">
      <c r="A86" s="6" t="s">
        <v>247</v>
      </c>
      <c r="B86" s="6"/>
      <c r="C86" s="6"/>
      <c r="D86" s="6"/>
      <c r="E86" s="6"/>
      <c r="F86" s="53">
        <v>9394</v>
      </c>
      <c r="G86" s="54"/>
      <c r="H86" s="53">
        <f>13152+13152</f>
        <v>26304</v>
      </c>
      <c r="I86" s="53">
        <f>13152</f>
        <v>13152</v>
      </c>
      <c r="J86" s="53">
        <f>10736</f>
        <v>10736</v>
      </c>
      <c r="K86" s="53">
        <v>10736</v>
      </c>
    </row>
    <row r="87" spans="1:11" s="43" customFormat="1" ht="18.75" x14ac:dyDescent="0.3">
      <c r="A87" s="6" t="s">
        <v>269</v>
      </c>
      <c r="B87" s="6"/>
      <c r="C87" s="6"/>
      <c r="D87" s="6"/>
      <c r="E87" s="6"/>
      <c r="F87" s="53"/>
      <c r="G87" s="54"/>
      <c r="H87" s="53">
        <f>1000</f>
        <v>1000</v>
      </c>
      <c r="I87" s="53"/>
      <c r="J87" s="53"/>
      <c r="K87" s="53"/>
    </row>
    <row r="88" spans="1:11" s="43" customFormat="1" ht="19.5" thickBot="1" x14ac:dyDescent="0.35">
      <c r="A88" s="6" t="s">
        <v>51</v>
      </c>
      <c r="B88" s="6"/>
      <c r="C88" s="6"/>
      <c r="D88" s="6"/>
      <c r="E88" s="6"/>
      <c r="F88" s="53"/>
      <c r="H88" s="53"/>
      <c r="I88" s="53"/>
      <c r="J88" s="53"/>
      <c r="K88" s="53"/>
    </row>
    <row r="89" spans="1:11" s="43" customFormat="1" ht="16.5" thickBot="1" x14ac:dyDescent="0.3">
      <c r="A89" s="52" t="s">
        <v>4</v>
      </c>
      <c r="B89" s="63"/>
      <c r="C89" s="64"/>
      <c r="D89" s="64"/>
      <c r="E89" s="65"/>
      <c r="F89" s="66">
        <f>SUM(F7:F88)</f>
        <v>2586818.02</v>
      </c>
      <c r="G89" s="66">
        <f>SUM(G7:G87)</f>
        <v>2299562.2699999996</v>
      </c>
      <c r="H89" s="66">
        <f>SUM(H7:H88)</f>
        <v>2083650.1300000001</v>
      </c>
      <c r="I89" s="66">
        <f>SUM(I7:I88)</f>
        <v>2451577.3000000003</v>
      </c>
      <c r="J89" s="66">
        <f>SUM(J7:J88)</f>
        <v>1791114.9900000002</v>
      </c>
      <c r="K89" s="66">
        <f>SUM(K7:K88)</f>
        <v>1784527.33</v>
      </c>
    </row>
    <row r="90" spans="1:11" s="43" customFormat="1" x14ac:dyDescent="0.2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1:11" s="43" customFormat="1" ht="19.5" x14ac:dyDescent="0.35">
      <c r="A91" s="50" t="s">
        <v>9</v>
      </c>
      <c r="B91" s="51"/>
      <c r="C91" s="51"/>
      <c r="D91" s="51"/>
      <c r="E91" s="51"/>
      <c r="F91" s="52" t="s">
        <v>20</v>
      </c>
      <c r="G91" s="10" t="s">
        <v>21</v>
      </c>
      <c r="H91" s="10" t="s">
        <v>22</v>
      </c>
      <c r="I91" s="10" t="s">
        <v>1</v>
      </c>
      <c r="J91" s="10" t="s">
        <v>2</v>
      </c>
      <c r="K91" s="10" t="s">
        <v>0</v>
      </c>
    </row>
    <row r="92" spans="1:11" s="43" customFormat="1" ht="18.75" x14ac:dyDescent="0.3">
      <c r="A92" s="6" t="s">
        <v>216</v>
      </c>
      <c r="B92" s="6"/>
      <c r="C92" s="6"/>
      <c r="D92" s="6"/>
      <c r="E92" s="6"/>
      <c r="F92" s="53">
        <v>61720</v>
      </c>
      <c r="G92" s="53">
        <v>61720</v>
      </c>
      <c r="H92" s="68">
        <v>62137</v>
      </c>
      <c r="I92" s="53">
        <v>59881</v>
      </c>
      <c r="J92" s="53">
        <f>52726+5609</f>
        <v>58335</v>
      </c>
      <c r="K92" s="53">
        <v>64007</v>
      </c>
    </row>
    <row r="93" spans="1:11" s="43" customFormat="1" ht="18.75" x14ac:dyDescent="0.3">
      <c r="A93" s="6" t="s">
        <v>217</v>
      </c>
      <c r="B93" s="6"/>
      <c r="C93" s="6"/>
      <c r="D93" s="6"/>
      <c r="E93" s="6"/>
      <c r="F93" s="53">
        <v>36881</v>
      </c>
      <c r="G93" s="53"/>
      <c r="H93" s="53"/>
      <c r="I93" s="53"/>
      <c r="J93" s="53"/>
      <c r="K93" s="53"/>
    </row>
    <row r="94" spans="1:11" s="43" customFormat="1" ht="18.75" x14ac:dyDescent="0.3">
      <c r="A94" s="56" t="s">
        <v>212</v>
      </c>
      <c r="B94" s="6"/>
      <c r="C94" s="6"/>
      <c r="D94" s="6"/>
      <c r="E94" s="6"/>
      <c r="F94" s="53"/>
      <c r="G94" s="53"/>
      <c r="H94" s="53"/>
      <c r="I94" s="53">
        <v>48614</v>
      </c>
      <c r="J94" s="53"/>
      <c r="K94" s="53"/>
    </row>
    <row r="95" spans="1:11" s="43" customFormat="1" ht="18.75" x14ac:dyDescent="0.3">
      <c r="A95" s="6" t="s">
        <v>185</v>
      </c>
      <c r="B95" s="6"/>
      <c r="C95" s="6"/>
      <c r="D95" s="6"/>
      <c r="E95" s="6"/>
      <c r="F95" s="53">
        <v>38350</v>
      </c>
      <c r="G95" s="53">
        <v>37568</v>
      </c>
      <c r="H95" s="53">
        <v>39628</v>
      </c>
      <c r="I95" s="53">
        <v>38818</v>
      </c>
      <c r="J95" s="53">
        <f>39609+4753</f>
        <v>44362</v>
      </c>
      <c r="K95" s="53">
        <v>34986</v>
      </c>
    </row>
    <row r="96" spans="1:11" s="43" customFormat="1" ht="18.75" x14ac:dyDescent="0.3">
      <c r="A96" s="6" t="s">
        <v>237</v>
      </c>
      <c r="B96" s="6"/>
      <c r="C96" s="6"/>
      <c r="D96" s="6"/>
      <c r="E96" s="6"/>
      <c r="F96" s="53">
        <f>12307+5657</f>
        <v>17964</v>
      </c>
      <c r="G96" s="53">
        <v>12086</v>
      </c>
      <c r="H96" s="53">
        <v>12680</v>
      </c>
      <c r="I96" s="54">
        <f>12452</f>
        <v>12452</v>
      </c>
      <c r="J96" s="53">
        <f>12674+7485</f>
        <v>20159</v>
      </c>
      <c r="K96" s="53">
        <f>11430</f>
        <v>11430</v>
      </c>
    </row>
    <row r="97" spans="1:11" s="43" customFormat="1" ht="18.75" x14ac:dyDescent="0.3">
      <c r="A97" s="6" t="s">
        <v>184</v>
      </c>
      <c r="B97" s="6"/>
      <c r="C97" s="6"/>
      <c r="D97" s="6"/>
      <c r="E97" s="6"/>
      <c r="F97" s="53">
        <v>20058</v>
      </c>
      <c r="G97" s="53"/>
      <c r="H97" s="53"/>
      <c r="I97" s="53"/>
      <c r="J97" s="53"/>
      <c r="K97" s="53"/>
    </row>
    <row r="98" spans="1:11" s="43" customFormat="1" ht="18.75" x14ac:dyDescent="0.3">
      <c r="A98" s="56" t="s">
        <v>212</v>
      </c>
      <c r="B98" s="6"/>
      <c r="C98" s="6"/>
      <c r="D98" s="6"/>
      <c r="E98" s="6"/>
      <c r="F98" s="53"/>
      <c r="G98" s="53"/>
      <c r="H98" s="53"/>
      <c r="I98" s="53"/>
      <c r="J98" s="53">
        <f>16153+10384</f>
        <v>26537</v>
      </c>
      <c r="K98" s="53"/>
    </row>
    <row r="99" spans="1:11" s="43" customFormat="1" ht="18.75" x14ac:dyDescent="0.3">
      <c r="A99" s="6" t="s">
        <v>208</v>
      </c>
      <c r="B99" s="6"/>
      <c r="C99" s="6"/>
      <c r="D99" s="6"/>
      <c r="E99" s="6"/>
      <c r="F99" s="53">
        <v>38578</v>
      </c>
      <c r="G99" s="53">
        <v>37430</v>
      </c>
      <c r="H99" s="53">
        <v>38902</v>
      </c>
      <c r="I99" s="53">
        <v>38902</v>
      </c>
      <c r="J99" s="53">
        <f>33882+3956</f>
        <v>37838</v>
      </c>
      <c r="K99" s="53">
        <v>38969</v>
      </c>
    </row>
    <row r="100" spans="1:11" s="43" customFormat="1" ht="18.75" x14ac:dyDescent="0.3">
      <c r="A100" s="6" t="s">
        <v>209</v>
      </c>
      <c r="B100" s="6"/>
      <c r="C100" s="6"/>
      <c r="D100" s="6"/>
      <c r="E100" s="6"/>
      <c r="F100" s="53">
        <v>20155</v>
      </c>
      <c r="G100" s="53"/>
      <c r="H100" s="53"/>
      <c r="I100" s="53"/>
      <c r="J100" s="53"/>
      <c r="K100" s="53"/>
    </row>
    <row r="101" spans="1:11" s="43" customFormat="1" ht="18.75" x14ac:dyDescent="0.3">
      <c r="A101" s="56" t="s">
        <v>212</v>
      </c>
      <c r="B101" s="56"/>
      <c r="C101" s="6"/>
      <c r="D101" s="6"/>
      <c r="E101" s="6"/>
      <c r="F101" s="53"/>
      <c r="G101" s="53"/>
      <c r="H101" s="53"/>
      <c r="I101" s="53">
        <v>26075</v>
      </c>
      <c r="J101" s="53"/>
      <c r="K101" s="53"/>
    </row>
    <row r="102" spans="1:11" s="43" customFormat="1" ht="18.75" x14ac:dyDescent="0.3">
      <c r="A102" s="6" t="s">
        <v>263</v>
      </c>
      <c r="B102" s="6"/>
      <c r="C102" s="6"/>
      <c r="D102" s="6"/>
      <c r="E102" s="6"/>
      <c r="F102" s="53">
        <v>33660</v>
      </c>
      <c r="G102" s="53">
        <v>36134</v>
      </c>
      <c r="H102" s="53">
        <v>36454</v>
      </c>
      <c r="I102" s="53">
        <v>36454</v>
      </c>
      <c r="J102" s="53">
        <f>37424+4200</f>
        <v>41624</v>
      </c>
      <c r="K102" s="53">
        <v>37502</v>
      </c>
    </row>
    <row r="103" spans="1:11" s="43" customFormat="1" ht="18.75" x14ac:dyDescent="0.3">
      <c r="A103" s="6" t="s">
        <v>258</v>
      </c>
      <c r="B103" s="6"/>
      <c r="C103" s="6"/>
      <c r="D103" s="6"/>
      <c r="E103" s="6"/>
      <c r="F103" s="53">
        <v>19494</v>
      </c>
      <c r="G103" s="53"/>
      <c r="H103" s="53"/>
      <c r="I103" s="53"/>
      <c r="J103" s="53"/>
      <c r="K103" s="53"/>
    </row>
    <row r="104" spans="1:11" s="43" customFormat="1" ht="18.75" x14ac:dyDescent="0.3">
      <c r="A104" s="56" t="s">
        <v>212</v>
      </c>
      <c r="B104" s="56"/>
      <c r="C104" s="56"/>
      <c r="D104" s="56"/>
      <c r="E104" s="56"/>
      <c r="F104" s="53"/>
      <c r="G104" s="53"/>
      <c r="H104" s="53"/>
      <c r="I104" s="53"/>
      <c r="J104" s="53"/>
      <c r="K104" s="53"/>
    </row>
    <row r="105" spans="1:11" s="43" customFormat="1" ht="18.75" x14ac:dyDescent="0.3">
      <c r="A105" s="6" t="s">
        <v>232</v>
      </c>
      <c r="B105" s="6"/>
      <c r="C105" s="6"/>
      <c r="D105" s="6"/>
      <c r="E105" s="6"/>
      <c r="F105" s="53">
        <v>33162</v>
      </c>
      <c r="G105" s="53">
        <v>32200</v>
      </c>
      <c r="H105" s="53">
        <v>34425</v>
      </c>
      <c r="I105" s="53">
        <v>30826</v>
      </c>
      <c r="J105" s="53">
        <f>32486+3686</f>
        <v>36172</v>
      </c>
      <c r="K105" s="53">
        <v>30585</v>
      </c>
    </row>
    <row r="106" spans="1:11" s="43" customFormat="1" ht="18.75" x14ac:dyDescent="0.3">
      <c r="A106" s="6" t="s">
        <v>233</v>
      </c>
      <c r="B106" s="6"/>
      <c r="C106" s="6"/>
      <c r="D106" s="6"/>
      <c r="E106" s="6"/>
      <c r="F106" s="53">
        <v>17466</v>
      </c>
      <c r="G106" s="53"/>
      <c r="H106" s="53"/>
      <c r="I106" s="53"/>
      <c r="J106" s="53"/>
      <c r="K106" s="53"/>
    </row>
    <row r="107" spans="1:11" s="43" customFormat="1" ht="18.75" x14ac:dyDescent="0.3">
      <c r="A107" s="6" t="s">
        <v>234</v>
      </c>
      <c r="B107" s="6"/>
      <c r="C107" s="6"/>
      <c r="D107" s="6"/>
      <c r="E107" s="6"/>
      <c r="F107" s="53"/>
      <c r="G107" s="53"/>
      <c r="H107" s="53">
        <f>1069+20987</f>
        <v>22056</v>
      </c>
      <c r="I107" s="53"/>
      <c r="J107" s="53"/>
      <c r="K107" s="53"/>
    </row>
    <row r="108" spans="1:11" s="43" customFormat="1" ht="18.75" x14ac:dyDescent="0.3">
      <c r="A108" s="6" t="s">
        <v>231</v>
      </c>
      <c r="B108" s="6"/>
      <c r="C108" s="6"/>
      <c r="D108" s="6"/>
      <c r="E108" s="6"/>
      <c r="F108" s="53">
        <v>52773</v>
      </c>
      <c r="G108" s="53">
        <v>52773</v>
      </c>
      <c r="H108" s="53">
        <v>50998</v>
      </c>
      <c r="I108" s="53">
        <v>53253</v>
      </c>
      <c r="J108" s="53">
        <f>53253+5800</f>
        <v>59053</v>
      </c>
      <c r="K108" s="53">
        <v>53378</v>
      </c>
    </row>
    <row r="109" spans="1:11" s="43" customFormat="1" ht="18.75" x14ac:dyDescent="0.3">
      <c r="A109" s="6" t="s">
        <v>222</v>
      </c>
      <c r="B109" s="6"/>
      <c r="C109" s="6"/>
      <c r="D109" s="6"/>
      <c r="E109" s="6"/>
      <c r="F109" s="53">
        <v>23719</v>
      </c>
      <c r="G109" s="53"/>
      <c r="H109" s="53"/>
      <c r="I109" s="53"/>
      <c r="J109" s="53"/>
      <c r="K109" s="53"/>
    </row>
    <row r="110" spans="1:11" s="43" customFormat="1" ht="18.75" x14ac:dyDescent="0.3">
      <c r="A110" s="56" t="s">
        <v>212</v>
      </c>
      <c r="B110" s="6"/>
      <c r="C110" s="6"/>
      <c r="D110" s="6"/>
      <c r="E110" s="6"/>
      <c r="F110" s="53"/>
      <c r="G110" s="53">
        <v>15032</v>
      </c>
      <c r="H110" s="53"/>
      <c r="I110" s="53"/>
      <c r="J110" s="53">
        <f>7703+9243</f>
        <v>16946</v>
      </c>
      <c r="K110" s="53"/>
    </row>
    <row r="111" spans="1:11" s="43" customFormat="1" ht="18.75" x14ac:dyDescent="0.3">
      <c r="A111" s="56" t="s">
        <v>244</v>
      </c>
      <c r="B111" s="6"/>
      <c r="C111" s="6"/>
      <c r="D111" s="6"/>
      <c r="E111" s="6"/>
      <c r="F111" s="53">
        <v>39048</v>
      </c>
      <c r="G111" s="53">
        <v>39048</v>
      </c>
      <c r="H111" s="53">
        <v>35556</v>
      </c>
      <c r="I111" s="53">
        <v>41887</v>
      </c>
      <c r="J111" s="53">
        <f>39595+4046</f>
        <v>43641</v>
      </c>
      <c r="K111" s="53">
        <v>40573</v>
      </c>
    </row>
    <row r="112" spans="1:11" s="43" customFormat="1" ht="18.75" x14ac:dyDescent="0.3">
      <c r="A112" s="56" t="s">
        <v>245</v>
      </c>
      <c r="B112" s="6"/>
      <c r="C112" s="6"/>
      <c r="D112" s="6"/>
      <c r="E112" s="6"/>
      <c r="F112" s="53">
        <v>21266</v>
      </c>
      <c r="G112" s="53"/>
      <c r="H112" s="53"/>
      <c r="I112" s="53"/>
      <c r="J112" s="53"/>
      <c r="K112" s="53"/>
    </row>
    <row r="113" spans="1:11" s="43" customFormat="1" ht="18.75" x14ac:dyDescent="0.3">
      <c r="A113" s="56" t="s">
        <v>253</v>
      </c>
      <c r="B113" s="6"/>
      <c r="C113" s="6"/>
      <c r="D113" s="6"/>
      <c r="E113" s="6"/>
      <c r="F113" s="53"/>
      <c r="G113" s="53">
        <f>24565+2634</f>
        <v>27199</v>
      </c>
      <c r="H113" s="53"/>
      <c r="I113" s="53"/>
      <c r="J113" s="53"/>
      <c r="K113" s="53"/>
    </row>
    <row r="114" spans="1:11" s="43" customFormat="1" ht="18.75" x14ac:dyDescent="0.3">
      <c r="A114" s="6" t="s">
        <v>24</v>
      </c>
      <c r="B114" s="6"/>
      <c r="C114" s="6"/>
      <c r="D114" s="6"/>
      <c r="E114" s="6"/>
      <c r="F114" s="53">
        <v>38615</v>
      </c>
      <c r="G114" s="53">
        <v>37516</v>
      </c>
      <c r="H114" s="53">
        <v>39893</v>
      </c>
      <c r="I114" s="53">
        <v>40376</v>
      </c>
      <c r="J114" s="53">
        <f>39893+4707</f>
        <v>44600</v>
      </c>
      <c r="K114" s="53">
        <v>41456</v>
      </c>
    </row>
    <row r="115" spans="1:11" s="43" customFormat="1" ht="18.75" x14ac:dyDescent="0.3">
      <c r="A115" s="6" t="s">
        <v>23</v>
      </c>
      <c r="B115" s="6"/>
      <c r="C115" s="6"/>
      <c r="D115" s="6"/>
      <c r="E115" s="6"/>
      <c r="F115" s="53">
        <v>20727</v>
      </c>
      <c r="G115" s="53"/>
      <c r="H115" s="53"/>
      <c r="I115" s="53"/>
      <c r="J115" s="53"/>
      <c r="K115" s="53"/>
    </row>
    <row r="116" spans="1:11" s="43" customFormat="1" ht="18.75" x14ac:dyDescent="0.3">
      <c r="A116" s="56" t="s">
        <v>212</v>
      </c>
      <c r="B116" s="56"/>
      <c r="C116" s="56"/>
      <c r="D116" s="56"/>
      <c r="E116" s="56"/>
      <c r="F116" s="53"/>
      <c r="G116" s="53"/>
      <c r="H116" s="53"/>
      <c r="I116" s="53"/>
      <c r="J116" s="53"/>
      <c r="K116" s="53"/>
    </row>
    <row r="117" spans="1:11" s="43" customFormat="1" ht="18.75" x14ac:dyDescent="0.3">
      <c r="A117" s="6" t="s">
        <v>219</v>
      </c>
      <c r="B117" s="6"/>
      <c r="C117" s="6"/>
      <c r="D117" s="6"/>
      <c r="E117" s="6"/>
      <c r="F117" s="53">
        <v>40536</v>
      </c>
      <c r="G117" s="53">
        <v>40092</v>
      </c>
      <c r="H117" s="53">
        <v>40412</v>
      </c>
      <c r="I117" s="53">
        <v>35368</v>
      </c>
      <c r="J117" s="53">
        <f>39641+3293</f>
        <v>42934</v>
      </c>
      <c r="K117" s="53">
        <v>41354</v>
      </c>
    </row>
    <row r="118" spans="1:11" s="43" customFormat="1" ht="18.75" x14ac:dyDescent="0.3">
      <c r="A118" s="6" t="s">
        <v>220</v>
      </c>
      <c r="B118" s="6"/>
      <c r="C118" s="6"/>
      <c r="D118" s="6"/>
      <c r="E118" s="6"/>
      <c r="F118" s="53">
        <v>21284</v>
      </c>
      <c r="G118" s="53"/>
      <c r="H118" s="53"/>
      <c r="I118" s="53"/>
      <c r="J118" s="53"/>
      <c r="K118" s="53"/>
    </row>
    <row r="119" spans="1:11" s="43" customFormat="1" ht="18.75" x14ac:dyDescent="0.3">
      <c r="A119" s="56" t="s">
        <v>212</v>
      </c>
      <c r="B119" s="6"/>
      <c r="C119" s="6"/>
      <c r="D119" s="6"/>
      <c r="E119" s="6"/>
      <c r="F119" s="53"/>
      <c r="G119" s="53"/>
      <c r="H119" s="53">
        <f>5373+29008</f>
        <v>34381</v>
      </c>
      <c r="I119" s="53"/>
      <c r="J119" s="53"/>
      <c r="K119" s="53"/>
    </row>
    <row r="120" spans="1:11" s="43" customFormat="1" ht="18.75" x14ac:dyDescent="0.3">
      <c r="A120" s="6" t="s">
        <v>190</v>
      </c>
      <c r="B120" s="6"/>
      <c r="C120" s="6"/>
      <c r="D120" s="6"/>
      <c r="E120" s="6"/>
      <c r="F120" s="53">
        <v>36240</v>
      </c>
      <c r="G120" s="53">
        <v>36240</v>
      </c>
      <c r="H120" s="53">
        <v>37043</v>
      </c>
      <c r="I120" s="53">
        <v>36560</v>
      </c>
      <c r="J120" s="53">
        <f>36560+4317</f>
        <v>40877</v>
      </c>
      <c r="K120" s="53">
        <v>37993</v>
      </c>
    </row>
    <row r="121" spans="1:11" s="43" customFormat="1" ht="18.75" x14ac:dyDescent="0.3">
      <c r="A121" s="6" t="s">
        <v>191</v>
      </c>
      <c r="B121" s="6"/>
      <c r="C121" s="6"/>
      <c r="D121" s="6"/>
      <c r="E121" s="6"/>
      <c r="F121" s="53">
        <v>19213</v>
      </c>
      <c r="G121" s="53"/>
      <c r="H121" s="53"/>
      <c r="I121" s="53"/>
      <c r="J121" s="53"/>
      <c r="K121" s="53"/>
    </row>
    <row r="122" spans="1:11" s="43" customFormat="1" ht="18.75" x14ac:dyDescent="0.3">
      <c r="A122" s="56" t="s">
        <v>212</v>
      </c>
      <c r="B122" s="56"/>
      <c r="C122" s="56"/>
      <c r="D122" s="56"/>
      <c r="E122" s="56"/>
      <c r="F122" s="53"/>
      <c r="G122" s="53"/>
      <c r="H122" s="53"/>
      <c r="I122" s="53"/>
      <c r="J122" s="53"/>
      <c r="K122" s="53"/>
    </row>
    <row r="123" spans="1:11" s="43" customFormat="1" ht="18.75" x14ac:dyDescent="0.3">
      <c r="A123" s="6" t="s">
        <v>250</v>
      </c>
      <c r="B123" s="6"/>
      <c r="C123" s="56"/>
      <c r="D123" s="56"/>
      <c r="E123" s="56"/>
      <c r="F123" s="53">
        <v>31841</v>
      </c>
      <c r="G123" s="53">
        <v>31841</v>
      </c>
      <c r="H123" s="53">
        <v>32218</v>
      </c>
      <c r="I123" s="53">
        <v>33241</v>
      </c>
      <c r="J123" s="53">
        <f>32337+3833</f>
        <v>36170</v>
      </c>
      <c r="K123" s="53">
        <v>34593</v>
      </c>
    </row>
    <row r="124" spans="1:11" s="43" customFormat="1" ht="18.75" x14ac:dyDescent="0.3">
      <c r="A124" s="6" t="s">
        <v>251</v>
      </c>
      <c r="B124" s="6"/>
      <c r="C124" s="56"/>
      <c r="D124" s="56"/>
      <c r="E124" s="56"/>
      <c r="F124" s="53">
        <v>17049</v>
      </c>
      <c r="G124" s="53"/>
      <c r="H124" s="53"/>
      <c r="I124" s="53"/>
      <c r="J124" s="53"/>
      <c r="K124" s="53"/>
    </row>
    <row r="125" spans="1:11" s="43" customFormat="1" ht="18.75" x14ac:dyDescent="0.3">
      <c r="A125" s="56" t="s">
        <v>212</v>
      </c>
      <c r="B125" s="56"/>
      <c r="C125" s="56"/>
      <c r="D125" s="56"/>
      <c r="E125" s="56"/>
      <c r="F125" s="53"/>
      <c r="G125" s="53"/>
      <c r="H125" s="53"/>
      <c r="I125" s="53"/>
      <c r="J125" s="53"/>
      <c r="K125" s="53"/>
    </row>
    <row r="126" spans="1:11" s="43" customFormat="1" ht="18.75" x14ac:dyDescent="0.3">
      <c r="A126" s="56" t="s">
        <v>307</v>
      </c>
      <c r="B126" s="56"/>
      <c r="C126" s="56"/>
      <c r="D126" s="56"/>
      <c r="E126" s="56"/>
      <c r="F126" s="53"/>
      <c r="G126" s="53"/>
      <c r="H126" s="53"/>
      <c r="I126" s="53"/>
      <c r="J126" s="53">
        <f>14509+570</f>
        <v>15079</v>
      </c>
      <c r="K126" s="53">
        <v>34796</v>
      </c>
    </row>
    <row r="127" spans="1:11" s="43" customFormat="1" ht="18.75" x14ac:dyDescent="0.3">
      <c r="A127" s="6" t="s">
        <v>25</v>
      </c>
      <c r="B127" s="6"/>
      <c r="C127" s="6"/>
      <c r="D127" s="6"/>
      <c r="E127" s="6"/>
      <c r="F127" s="53">
        <v>59079</v>
      </c>
      <c r="G127" s="53">
        <v>59079</v>
      </c>
      <c r="H127" s="53">
        <v>59585</v>
      </c>
      <c r="I127" s="53">
        <v>59585</v>
      </c>
      <c r="J127" s="53">
        <f>59585+7805</f>
        <v>67390</v>
      </c>
      <c r="K127" s="53">
        <v>61884</v>
      </c>
    </row>
    <row r="128" spans="1:11" s="43" customFormat="1" ht="18.75" x14ac:dyDescent="0.3">
      <c r="A128" s="6" t="s">
        <v>27</v>
      </c>
      <c r="B128" s="6"/>
      <c r="C128" s="6"/>
      <c r="D128" s="6"/>
      <c r="E128" s="6"/>
      <c r="F128" s="53">
        <f>17360+194019</f>
        <v>211379</v>
      </c>
      <c r="G128" s="53">
        <f>10060+275570</f>
        <v>285630</v>
      </c>
      <c r="H128" s="53">
        <f>196621+17363</f>
        <v>213984</v>
      </c>
      <c r="I128" s="53">
        <f>22138+197596</f>
        <v>219734</v>
      </c>
      <c r="J128" s="53">
        <f>25751+201877+9043+24471</f>
        <v>261142</v>
      </c>
      <c r="K128" s="53">
        <f>215721+18871</f>
        <v>234592</v>
      </c>
    </row>
    <row r="129" spans="1:11" s="43" customFormat="1" ht="18.75" x14ac:dyDescent="0.3">
      <c r="A129" s="6" t="s">
        <v>26</v>
      </c>
      <c r="B129" s="6"/>
      <c r="C129" s="6"/>
      <c r="D129" s="6"/>
      <c r="E129" s="6"/>
      <c r="F129" s="53">
        <f>12979</f>
        <v>12979</v>
      </c>
      <c r="G129" s="53">
        <v>13095</v>
      </c>
      <c r="H129" s="53">
        <v>19168</v>
      </c>
      <c r="I129" s="53">
        <v>13265</v>
      </c>
      <c r="J129" s="53">
        <v>13327</v>
      </c>
      <c r="K129" s="53">
        <v>13583</v>
      </c>
    </row>
    <row r="130" spans="1:11" s="43" customFormat="1" ht="18.75" x14ac:dyDescent="0.3">
      <c r="A130" s="6" t="s">
        <v>28</v>
      </c>
      <c r="B130" s="6"/>
      <c r="C130" s="6"/>
      <c r="D130" s="6"/>
      <c r="E130" s="6"/>
      <c r="F130" s="54">
        <f>8895+7134+4875+30613+5471</f>
        <v>56988</v>
      </c>
      <c r="G130" s="53">
        <f>6792+4876+32181+6934+8360</f>
        <v>59143</v>
      </c>
      <c r="H130" s="53">
        <f>8223+6476+33934+4715+6291</f>
        <v>59639</v>
      </c>
      <c r="I130" s="53">
        <f>7150+8482+4800+33208+6318</f>
        <v>59958</v>
      </c>
      <c r="J130" s="53">
        <f>4809+6058+8326+7283+34048</f>
        <v>60524</v>
      </c>
      <c r="K130" s="53">
        <f>6620+5355+32674+7141+8161</f>
        <v>59951</v>
      </c>
    </row>
    <row r="131" spans="1:11" s="43" customFormat="1" ht="18.75" x14ac:dyDescent="0.3">
      <c r="A131" s="6" t="s">
        <v>29</v>
      </c>
      <c r="B131" s="6"/>
      <c r="C131" s="6"/>
      <c r="D131" s="6"/>
      <c r="E131" s="6"/>
      <c r="F131" s="53">
        <f>8514+5365+3096</f>
        <v>16975</v>
      </c>
      <c r="G131" s="53">
        <f>5198+3096+8341</f>
        <v>16635</v>
      </c>
      <c r="H131" s="53">
        <f>3096+5157+7910</f>
        <v>16163</v>
      </c>
      <c r="I131" s="53">
        <f>7952+5157+3096</f>
        <v>16205</v>
      </c>
      <c r="J131" s="53">
        <f>5157+8232+3096</f>
        <v>16485</v>
      </c>
      <c r="K131" s="54">
        <f>5157+8384+3096</f>
        <v>16637</v>
      </c>
    </row>
    <row r="132" spans="1:11" s="43" customFormat="1" ht="18.75" x14ac:dyDescent="0.3">
      <c r="A132" s="6" t="s">
        <v>30</v>
      </c>
      <c r="B132" s="6"/>
      <c r="C132" s="6"/>
      <c r="D132" s="6"/>
      <c r="E132" s="6"/>
      <c r="F132" s="53">
        <f>247529</f>
        <v>247529</v>
      </c>
      <c r="G132" s="53">
        <v>247529</v>
      </c>
      <c r="H132" s="53">
        <v>178665</v>
      </c>
      <c r="I132" s="53">
        <v>247529</v>
      </c>
      <c r="J132" s="53">
        <v>247528.37</v>
      </c>
      <c r="K132" s="53">
        <v>247528.37</v>
      </c>
    </row>
    <row r="133" spans="1:11" s="43" customFormat="1" ht="18.75" x14ac:dyDescent="0.3">
      <c r="A133" s="6" t="s">
        <v>74</v>
      </c>
      <c r="B133" s="6"/>
      <c r="C133" s="6"/>
      <c r="D133" s="6"/>
      <c r="E133" s="6"/>
      <c r="F133" s="53"/>
      <c r="G133" s="53"/>
      <c r="H133" s="53"/>
      <c r="I133" s="53"/>
      <c r="J133" s="53"/>
      <c r="K133" s="53"/>
    </row>
    <row r="134" spans="1:11" s="43" customFormat="1" ht="18.75" x14ac:dyDescent="0.3">
      <c r="A134" s="6" t="s">
        <v>257</v>
      </c>
      <c r="B134" s="6"/>
      <c r="C134" s="6"/>
      <c r="D134" s="6"/>
      <c r="E134" s="6"/>
      <c r="F134" s="53">
        <f>4860+5050</f>
        <v>9910</v>
      </c>
      <c r="G134" s="53">
        <f>7331+4392</f>
        <v>11723</v>
      </c>
      <c r="H134" s="53"/>
      <c r="I134" s="55">
        <f>5540+14787+3360+20220</f>
        <v>43907</v>
      </c>
      <c r="J134" s="53"/>
      <c r="K134" s="53">
        <v>15615</v>
      </c>
    </row>
    <row r="135" spans="1:11" s="43" customFormat="1" ht="18.75" x14ac:dyDescent="0.3">
      <c r="A135" s="6" t="s">
        <v>31</v>
      </c>
      <c r="B135" s="6"/>
      <c r="C135" s="6"/>
      <c r="D135" s="6"/>
      <c r="E135" s="6"/>
      <c r="F135" s="53"/>
      <c r="G135" s="53"/>
      <c r="H135" s="53"/>
      <c r="I135" s="53"/>
      <c r="J135" s="53"/>
      <c r="K135" s="53"/>
    </row>
    <row r="136" spans="1:11" s="43" customFormat="1" ht="18.75" x14ac:dyDescent="0.3">
      <c r="A136" s="6" t="s">
        <v>270</v>
      </c>
      <c r="B136" s="6"/>
      <c r="C136" s="6"/>
      <c r="D136" s="6"/>
      <c r="E136" s="6"/>
      <c r="F136" s="53">
        <v>46587</v>
      </c>
      <c r="G136" s="53">
        <v>45587</v>
      </c>
      <c r="H136" s="53">
        <v>62800</v>
      </c>
      <c r="I136" s="53">
        <v>49889</v>
      </c>
      <c r="J136" s="53">
        <v>49889</v>
      </c>
      <c r="K136" s="53">
        <v>49889</v>
      </c>
    </row>
    <row r="137" spans="1:11" s="43" customFormat="1" ht="18.75" x14ac:dyDescent="0.3">
      <c r="A137" s="6" t="s">
        <v>163</v>
      </c>
      <c r="B137" s="6"/>
      <c r="C137" s="6"/>
      <c r="D137" s="6"/>
      <c r="E137" s="6"/>
      <c r="F137" s="53">
        <f>85.54+85.56+85.6+85.6+85.6+85.61+85.6+85.6+85.6+85.6+85.6+87.35+85.6+85.6+85.6+85.6+85.6+85.6+85.6+87.35+85.6+85.6+1135.49</f>
        <v>3022.0999999999995</v>
      </c>
      <c r="G137" s="54">
        <f>87.15+1131.08</f>
        <v>1218.23</v>
      </c>
      <c r="H137" s="53">
        <v>86.78</v>
      </c>
      <c r="I137" s="53">
        <f>84.91+84.91+84.92+86.71+86.71+86.71+86.71+86.71+84.97+84.97+84.97+84.97+84.96+84.96+84.96+169.9+84.94+84.92+84.92+84.92+84.91+1127.76</f>
        <v>3005.3200000000006</v>
      </c>
      <c r="J137" s="53">
        <f>85.02+340.12+87.03+1133.85</f>
        <v>1646.02</v>
      </c>
      <c r="K137" s="53">
        <f>87.24+87.24+87.58+87.58+87.58+87.58+1140.91</f>
        <v>1665.71</v>
      </c>
    </row>
    <row r="138" spans="1:11" s="43" customFormat="1" ht="18.75" x14ac:dyDescent="0.3">
      <c r="A138" s="6" t="s">
        <v>40</v>
      </c>
      <c r="B138" s="6"/>
      <c r="C138" s="6"/>
      <c r="D138" s="6"/>
      <c r="E138" s="6"/>
      <c r="F138" s="53"/>
      <c r="G138" s="53"/>
      <c r="H138" s="53"/>
      <c r="I138" s="53"/>
      <c r="J138" s="53"/>
      <c r="K138" s="53">
        <v>69986</v>
      </c>
    </row>
    <row r="139" spans="1:11" s="43" customFormat="1" ht="18.75" x14ac:dyDescent="0.3">
      <c r="A139" s="6" t="s">
        <v>35</v>
      </c>
      <c r="B139" s="6"/>
      <c r="C139" s="6"/>
      <c r="D139" s="6"/>
      <c r="E139" s="6"/>
      <c r="F139" s="53"/>
      <c r="G139" s="53"/>
      <c r="H139" s="53"/>
      <c r="I139" s="53"/>
      <c r="J139" s="53"/>
      <c r="K139" s="53"/>
    </row>
    <row r="140" spans="1:11" s="43" customFormat="1" ht="18.75" x14ac:dyDescent="0.3">
      <c r="A140" s="6" t="s">
        <v>36</v>
      </c>
      <c r="B140" s="6"/>
      <c r="C140" s="6"/>
      <c r="D140" s="6"/>
      <c r="E140" s="6"/>
      <c r="F140" s="53">
        <v>399999</v>
      </c>
      <c r="G140" s="53">
        <v>425000</v>
      </c>
      <c r="H140" s="53">
        <v>425000</v>
      </c>
      <c r="I140" s="53">
        <v>425000</v>
      </c>
      <c r="J140" s="53">
        <v>425000</v>
      </c>
      <c r="K140" s="53">
        <v>425000</v>
      </c>
    </row>
    <row r="141" spans="1:11" s="43" customFormat="1" ht="18.75" x14ac:dyDescent="0.3">
      <c r="A141" s="6" t="s">
        <v>37</v>
      </c>
      <c r="B141" s="6"/>
      <c r="C141" s="6"/>
      <c r="D141" s="6"/>
      <c r="E141" s="6"/>
      <c r="F141" s="53">
        <v>88000</v>
      </c>
      <c r="G141" s="53">
        <v>93500</v>
      </c>
      <c r="H141" s="53">
        <v>93500</v>
      </c>
      <c r="I141" s="53">
        <v>93500</v>
      </c>
      <c r="J141" s="53">
        <v>93500</v>
      </c>
      <c r="K141" s="53">
        <v>93500</v>
      </c>
    </row>
    <row r="142" spans="1:11" s="43" customFormat="1" ht="18.75" x14ac:dyDescent="0.3">
      <c r="A142" s="6" t="s">
        <v>196</v>
      </c>
      <c r="B142" s="6"/>
      <c r="C142" s="6"/>
      <c r="D142" s="6"/>
      <c r="E142" s="6"/>
      <c r="F142" s="53"/>
      <c r="G142" s="53"/>
      <c r="H142" s="53"/>
      <c r="I142" s="53"/>
      <c r="J142" s="53"/>
      <c r="K142" s="53"/>
    </row>
    <row r="143" spans="1:11" s="43" customFormat="1" ht="18.75" x14ac:dyDescent="0.3">
      <c r="A143" s="6" t="s">
        <v>197</v>
      </c>
      <c r="B143" s="6"/>
      <c r="C143" s="6"/>
      <c r="D143" s="6"/>
      <c r="E143" s="6"/>
      <c r="F143" s="53">
        <f>21000</f>
        <v>21000</v>
      </c>
      <c r="G143" s="53">
        <v>21000</v>
      </c>
      <c r="H143" s="53">
        <v>21000</v>
      </c>
      <c r="I143" s="53">
        <v>21000</v>
      </c>
      <c r="J143" s="53">
        <v>21000</v>
      </c>
      <c r="K143" s="53">
        <v>21000</v>
      </c>
    </row>
    <row r="144" spans="1:11" s="43" customFormat="1" ht="18.75" x14ac:dyDescent="0.3">
      <c r="A144" s="6" t="s">
        <v>38</v>
      </c>
      <c r="B144" s="6"/>
      <c r="C144" s="6"/>
      <c r="D144" s="6"/>
      <c r="E144" s="6"/>
      <c r="F144" s="53">
        <f>12000</f>
        <v>12000</v>
      </c>
      <c r="G144" s="53">
        <v>12000</v>
      </c>
      <c r="H144" s="53">
        <v>12000</v>
      </c>
      <c r="I144" s="53">
        <v>12000</v>
      </c>
      <c r="J144" s="53">
        <v>12000</v>
      </c>
      <c r="K144" s="53">
        <v>12000</v>
      </c>
    </row>
    <row r="145" spans="1:11" s="43" customFormat="1" ht="18.75" x14ac:dyDescent="0.3">
      <c r="A145" s="6" t="s">
        <v>34</v>
      </c>
      <c r="B145" s="6"/>
      <c r="C145" s="6"/>
      <c r="D145" s="6"/>
      <c r="E145" s="6"/>
      <c r="F145" s="53"/>
      <c r="G145" s="53"/>
      <c r="H145" s="53"/>
      <c r="I145" s="53"/>
      <c r="J145" s="53"/>
      <c r="K145" s="53"/>
    </row>
    <row r="146" spans="1:11" s="43" customFormat="1" ht="18.75" x14ac:dyDescent="0.3">
      <c r="A146" s="6" t="s">
        <v>272</v>
      </c>
      <c r="B146" s="6"/>
      <c r="C146" s="6"/>
      <c r="D146" s="6"/>
      <c r="E146" s="6"/>
      <c r="F146" s="53"/>
      <c r="G146" s="53"/>
      <c r="H146" s="53"/>
      <c r="I146" s="53"/>
      <c r="J146" s="53"/>
      <c r="K146" s="53"/>
    </row>
    <row r="147" spans="1:11" s="43" customFormat="1" ht="18.75" x14ac:dyDescent="0.3">
      <c r="A147" s="6" t="s">
        <v>37</v>
      </c>
      <c r="B147" s="6"/>
      <c r="C147" s="6"/>
      <c r="D147" s="6"/>
      <c r="E147" s="6"/>
      <c r="F147" s="53"/>
      <c r="G147" s="53"/>
      <c r="H147" s="53"/>
      <c r="I147" s="53"/>
      <c r="J147" s="53"/>
      <c r="K147" s="53"/>
    </row>
    <row r="148" spans="1:11" s="43" customFormat="1" ht="18.75" x14ac:dyDescent="0.3">
      <c r="A148" s="6" t="s">
        <v>39</v>
      </c>
      <c r="B148" s="6"/>
      <c r="C148" s="6"/>
      <c r="D148" s="6"/>
      <c r="E148" s="6"/>
      <c r="F148" s="53"/>
      <c r="G148" s="53"/>
      <c r="H148" s="53"/>
      <c r="I148" s="53">
        <f>3500</f>
        <v>3500</v>
      </c>
      <c r="J148" s="53"/>
      <c r="K148" s="53">
        <f>40299.48</f>
        <v>40299.480000000003</v>
      </c>
    </row>
    <row r="149" spans="1:11" s="43" customFormat="1" ht="18.75" x14ac:dyDescent="0.3">
      <c r="A149" s="6" t="s">
        <v>298</v>
      </c>
      <c r="B149" s="6"/>
      <c r="C149" s="6"/>
      <c r="D149" s="6"/>
      <c r="E149" s="6"/>
      <c r="F149" s="53"/>
      <c r="G149" s="53"/>
      <c r="H149" s="53"/>
      <c r="I149" s="53"/>
      <c r="J149" s="53"/>
      <c r="K149" s="53"/>
    </row>
    <row r="150" spans="1:11" s="43" customFormat="1" ht="18.75" x14ac:dyDescent="0.3">
      <c r="A150" s="6" t="s">
        <v>281</v>
      </c>
      <c r="B150" s="6"/>
      <c r="C150" s="6"/>
      <c r="D150" s="6"/>
      <c r="E150" s="6"/>
      <c r="F150" s="53">
        <f>13200+470.16</f>
        <v>13670.16</v>
      </c>
      <c r="G150" s="53">
        <f>21926+12672+2931+10014.82</f>
        <v>47543.82</v>
      </c>
      <c r="H150" s="53">
        <f>3434.75+979.67+11748</f>
        <v>16162.42</v>
      </c>
      <c r="I150" s="53">
        <f>2623.28+11880</f>
        <v>14503.28</v>
      </c>
      <c r="J150" s="53">
        <f>838.03+13239.34+12276</f>
        <v>26353.370000000003</v>
      </c>
      <c r="K150" s="53">
        <f>3000+11484</f>
        <v>14484</v>
      </c>
    </row>
    <row r="151" spans="1:11" s="43" customFormat="1" ht="18.75" x14ac:dyDescent="0.3">
      <c r="A151" s="6" t="s">
        <v>41</v>
      </c>
      <c r="B151" s="6"/>
      <c r="C151" s="6"/>
      <c r="D151" s="6"/>
      <c r="E151" s="6"/>
      <c r="F151" s="53">
        <f>12639+59134</f>
        <v>71773</v>
      </c>
      <c r="G151" s="53">
        <f>54192</f>
        <v>54192</v>
      </c>
      <c r="H151" s="53">
        <f>12785+3914.76</f>
        <v>16699.760000000002</v>
      </c>
      <c r="I151" s="53">
        <f>28745</f>
        <v>28745</v>
      </c>
      <c r="J151" s="53">
        <f>40249+2140.33+8396</f>
        <v>50785.33</v>
      </c>
      <c r="K151" s="53">
        <v>96916</v>
      </c>
    </row>
    <row r="152" spans="1:11" s="43" customFormat="1" ht="18.75" x14ac:dyDescent="0.3">
      <c r="A152" s="6" t="s">
        <v>174</v>
      </c>
      <c r="B152" s="6"/>
      <c r="C152" s="6"/>
      <c r="D152" s="6"/>
      <c r="E152" s="6"/>
      <c r="F152" s="53"/>
      <c r="G152" s="53">
        <f>41250+42700</f>
        <v>83950</v>
      </c>
      <c r="H152" s="53">
        <v>12000</v>
      </c>
      <c r="I152" s="53">
        <f>13000</f>
        <v>13000</v>
      </c>
      <c r="J152" s="53">
        <f>17500+14000+14000+14000</f>
        <v>59500</v>
      </c>
      <c r="K152" s="53">
        <f>7000+17500+10500+17500</f>
        <v>52500</v>
      </c>
    </row>
    <row r="153" spans="1:11" s="43" customFormat="1" ht="18.75" x14ac:dyDescent="0.3">
      <c r="A153" s="6" t="s">
        <v>47</v>
      </c>
      <c r="B153" s="6"/>
      <c r="C153" s="6"/>
      <c r="D153" s="6"/>
      <c r="E153" s="6"/>
      <c r="F153" s="53"/>
      <c r="G153" s="53"/>
      <c r="H153" s="53"/>
      <c r="I153" s="53"/>
      <c r="J153" s="53"/>
      <c r="K153" s="53"/>
    </row>
    <row r="154" spans="1:11" s="43" customFormat="1" ht="18.75" x14ac:dyDescent="0.3">
      <c r="A154" s="6" t="s">
        <v>48</v>
      </c>
      <c r="B154" s="6"/>
      <c r="C154" s="6"/>
      <c r="D154" s="6"/>
      <c r="E154" s="6"/>
      <c r="F154" s="53"/>
      <c r="G154" s="53"/>
      <c r="H154" s="53"/>
      <c r="I154" s="53"/>
      <c r="J154" s="53"/>
      <c r="K154" s="53"/>
    </row>
    <row r="155" spans="1:11" s="43" customFormat="1" ht="18.75" x14ac:dyDescent="0.3">
      <c r="A155" s="6" t="s">
        <v>50</v>
      </c>
      <c r="B155" s="6"/>
      <c r="C155" s="6"/>
      <c r="D155" s="6"/>
      <c r="E155" s="6"/>
      <c r="F155" s="53"/>
      <c r="G155" s="53"/>
      <c r="H155" s="53"/>
      <c r="I155" s="53"/>
      <c r="J155" s="53"/>
      <c r="K155" s="53"/>
    </row>
    <row r="156" spans="1:11" s="43" customFormat="1" ht="18.75" x14ac:dyDescent="0.3">
      <c r="A156" s="6" t="s">
        <v>43</v>
      </c>
      <c r="B156" s="6"/>
      <c r="C156" s="6"/>
      <c r="D156" s="6"/>
      <c r="E156" s="6"/>
      <c r="F156" s="53"/>
      <c r="G156" s="53"/>
      <c r="H156" s="53"/>
      <c r="I156" s="53"/>
      <c r="J156" s="53"/>
      <c r="K156" s="53"/>
    </row>
    <row r="157" spans="1:11" s="43" customFormat="1" ht="18.75" x14ac:dyDescent="0.3">
      <c r="A157" s="6" t="s">
        <v>142</v>
      </c>
      <c r="B157" s="6"/>
      <c r="C157" s="6"/>
      <c r="D157" s="6"/>
      <c r="E157" s="6"/>
      <c r="F157" s="53"/>
      <c r="G157" s="53">
        <v>49000</v>
      </c>
      <c r="H157" s="53"/>
      <c r="I157" s="53"/>
      <c r="J157" s="53">
        <v>49000</v>
      </c>
      <c r="K157" s="53"/>
    </row>
    <row r="158" spans="1:11" s="43" customFormat="1" ht="18.75" x14ac:dyDescent="0.3">
      <c r="A158" s="69" t="s">
        <v>108</v>
      </c>
      <c r="B158" s="6"/>
      <c r="C158" s="6"/>
      <c r="D158" s="6"/>
      <c r="E158" s="6"/>
      <c r="F158" s="53"/>
      <c r="G158" s="53"/>
      <c r="H158" s="53"/>
      <c r="I158" s="53"/>
      <c r="J158" s="53"/>
      <c r="K158" s="53"/>
    </row>
    <row r="159" spans="1:11" s="43" customFormat="1" ht="18.75" x14ac:dyDescent="0.3">
      <c r="A159" s="6" t="s">
        <v>147</v>
      </c>
      <c r="B159" s="6"/>
      <c r="C159" s="6"/>
      <c r="D159" s="6"/>
      <c r="E159" s="6"/>
      <c r="F159" s="53">
        <f>21178</f>
        <v>21178</v>
      </c>
      <c r="G159" s="53"/>
      <c r="H159" s="53"/>
      <c r="I159" s="53"/>
      <c r="J159" s="53"/>
      <c r="K159" s="53"/>
    </row>
    <row r="160" spans="1:11" s="43" customFormat="1" ht="18.75" x14ac:dyDescent="0.3">
      <c r="A160" s="6" t="s">
        <v>259</v>
      </c>
      <c r="B160" s="6"/>
      <c r="C160" s="6"/>
      <c r="D160" s="6"/>
      <c r="E160" s="6"/>
      <c r="F160" s="53"/>
      <c r="G160" s="53"/>
      <c r="H160" s="53"/>
      <c r="I160" s="53"/>
      <c r="J160" s="53"/>
      <c r="K160" s="53"/>
    </row>
    <row r="161" spans="1:11" s="43" customFormat="1" ht="18.75" x14ac:dyDescent="0.3">
      <c r="A161" s="6" t="s">
        <v>260</v>
      </c>
      <c r="B161" s="6"/>
      <c r="C161" s="6"/>
      <c r="D161" s="6"/>
      <c r="E161" s="6"/>
      <c r="F161" s="53">
        <f>60000</f>
        <v>60000</v>
      </c>
      <c r="G161" s="53"/>
      <c r="H161" s="53">
        <v>7866</v>
      </c>
      <c r="I161" s="53">
        <f>10000+55792+3200+24546+2184</f>
        <v>95722</v>
      </c>
      <c r="J161" s="53">
        <f>7000</f>
        <v>7000</v>
      </c>
      <c r="K161" s="53">
        <f>5480+1439</f>
        <v>6919</v>
      </c>
    </row>
    <row r="162" spans="1:11" s="43" customFormat="1" ht="18.75" x14ac:dyDescent="0.3">
      <c r="A162" s="6" t="s">
        <v>169</v>
      </c>
      <c r="B162" s="6"/>
      <c r="C162" s="6"/>
      <c r="D162" s="6"/>
      <c r="E162" s="6"/>
      <c r="F162" s="53">
        <v>10736</v>
      </c>
      <c r="G162" s="53">
        <v>10736</v>
      </c>
      <c r="H162" s="53">
        <v>10736</v>
      </c>
      <c r="I162" s="53">
        <v>10736</v>
      </c>
      <c r="J162" s="53">
        <v>10736</v>
      </c>
      <c r="K162" s="53">
        <v>11712</v>
      </c>
    </row>
    <row r="163" spans="1:11" s="43" customFormat="1" ht="18.75" x14ac:dyDescent="0.3">
      <c r="A163" s="6" t="s">
        <v>149</v>
      </c>
      <c r="B163" s="6"/>
      <c r="C163" s="6"/>
      <c r="D163" s="6"/>
      <c r="E163" s="6"/>
      <c r="F163" s="53"/>
      <c r="G163" s="53"/>
      <c r="H163" s="53"/>
      <c r="I163" s="53"/>
      <c r="J163" s="53"/>
      <c r="K163" s="53"/>
    </row>
    <row r="164" spans="1:11" s="43" customFormat="1" ht="15.75" x14ac:dyDescent="0.25">
      <c r="A164" s="52" t="s">
        <v>4</v>
      </c>
      <c r="B164" s="63"/>
      <c r="C164" s="64"/>
      <c r="D164" s="64"/>
      <c r="E164" s="64"/>
      <c r="F164" s="70">
        <f t="shared" ref="F164:K164" si="0">SUM(F92:F163)</f>
        <v>2062603.26</v>
      </c>
      <c r="G164" s="70">
        <f t="shared" si="0"/>
        <v>2033440.05</v>
      </c>
      <c r="H164" s="70">
        <f t="shared" si="0"/>
        <v>1741837.96</v>
      </c>
      <c r="I164" s="70">
        <f t="shared" si="0"/>
        <v>1963490.6</v>
      </c>
      <c r="J164" s="70">
        <f t="shared" si="0"/>
        <v>2037133.0900000003</v>
      </c>
      <c r="K164" s="70">
        <f t="shared" si="0"/>
        <v>2047283.56</v>
      </c>
    </row>
    <row r="165" spans="1:11" s="43" customFormat="1" x14ac:dyDescent="0.2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</row>
    <row r="166" spans="1:11" s="43" customFormat="1" ht="20.25" x14ac:dyDescent="0.3">
      <c r="A166" s="71" t="s">
        <v>3</v>
      </c>
      <c r="B166" s="72"/>
      <c r="C166" s="72"/>
      <c r="D166" s="72"/>
      <c r="E166" s="73"/>
      <c r="F166" s="52" t="s">
        <v>14</v>
      </c>
      <c r="G166" s="10" t="s">
        <v>15</v>
      </c>
      <c r="H166" s="10" t="s">
        <v>16</v>
      </c>
      <c r="I166" s="10" t="s">
        <v>17</v>
      </c>
      <c r="J166" s="10" t="s">
        <v>18</v>
      </c>
      <c r="K166" s="10" t="s">
        <v>19</v>
      </c>
    </row>
    <row r="167" spans="1:11" s="43" customFormat="1" ht="18.75" x14ac:dyDescent="0.3">
      <c r="A167" s="6" t="s">
        <v>52</v>
      </c>
      <c r="B167" s="6"/>
      <c r="C167" s="6"/>
      <c r="D167" s="6"/>
      <c r="E167" s="6"/>
      <c r="F167" s="54">
        <f>19724.64</f>
        <v>19724.64</v>
      </c>
      <c r="G167" s="53"/>
      <c r="H167" s="53">
        <f>14162.57+264.69+13301.97+921.05+7776.67+3254.18</f>
        <v>39681.129999999997</v>
      </c>
      <c r="I167" s="53">
        <f>9684.17</f>
        <v>9684.17</v>
      </c>
      <c r="J167" s="53">
        <f>563.64</f>
        <v>563.64</v>
      </c>
      <c r="K167" s="27">
        <f>6076.62+92.59+1062.7</f>
        <v>7231.91</v>
      </c>
    </row>
    <row r="168" spans="1:11" s="43" customFormat="1" ht="18.75" x14ac:dyDescent="0.3">
      <c r="A168" s="6" t="s">
        <v>53</v>
      </c>
      <c r="B168" s="6"/>
      <c r="C168" s="6"/>
      <c r="D168" s="6"/>
      <c r="E168" s="6"/>
      <c r="F168" s="54">
        <f>32.48</f>
        <v>32.479999999999997</v>
      </c>
      <c r="G168" s="53"/>
      <c r="H168" s="53"/>
      <c r="I168" s="53">
        <f>2.14+2.13+2.13+2.11+2.14+2.14+2.14+2.14</f>
        <v>17.07</v>
      </c>
      <c r="J168" s="53"/>
      <c r="K168" s="53"/>
    </row>
    <row r="169" spans="1:11" s="43" customFormat="1" ht="18.75" x14ac:dyDescent="0.3">
      <c r="A169" s="6" t="s">
        <v>249</v>
      </c>
      <c r="B169" s="6"/>
      <c r="C169" s="6"/>
      <c r="D169" s="6"/>
      <c r="E169" s="6"/>
      <c r="F169" s="54"/>
      <c r="G169" s="53">
        <f>892</f>
        <v>892</v>
      </c>
      <c r="H169" s="53"/>
      <c r="I169" s="53"/>
      <c r="J169" s="53">
        <f>38+269</f>
        <v>307</v>
      </c>
      <c r="K169" s="53"/>
    </row>
    <row r="170" spans="1:11" s="43" customFormat="1" ht="18.75" x14ac:dyDescent="0.3">
      <c r="A170" s="6" t="s">
        <v>262</v>
      </c>
      <c r="B170" s="6"/>
      <c r="C170" s="6"/>
      <c r="D170" s="6"/>
      <c r="E170" s="6"/>
      <c r="F170" s="54"/>
      <c r="G170" s="53"/>
      <c r="H170" s="53"/>
      <c r="I170" s="53"/>
      <c r="J170" s="53"/>
      <c r="K170" s="53"/>
    </row>
    <row r="171" spans="1:11" s="43" customFormat="1" ht="18.75" x14ac:dyDescent="0.3">
      <c r="A171" s="6" t="s">
        <v>189</v>
      </c>
      <c r="B171" s="6"/>
      <c r="C171" s="6"/>
      <c r="D171" s="6"/>
      <c r="E171" s="6"/>
      <c r="F171" s="54">
        <f>341+1220.72</f>
        <v>1561.72</v>
      </c>
      <c r="G171" s="53"/>
      <c r="H171" s="53">
        <f>1079</f>
        <v>1079</v>
      </c>
      <c r="I171" s="53">
        <f>1079+1220+60+311</f>
        <v>2670</v>
      </c>
      <c r="J171" s="53">
        <f>368+1220</f>
        <v>1588</v>
      </c>
      <c r="K171" s="53">
        <f>368+1220</f>
        <v>1588</v>
      </c>
    </row>
    <row r="172" spans="1:11" s="43" customFormat="1" ht="18.75" x14ac:dyDescent="0.3">
      <c r="A172" s="6" t="s">
        <v>56</v>
      </c>
      <c r="B172" s="6"/>
      <c r="C172" s="6"/>
      <c r="D172" s="6"/>
      <c r="E172" s="6"/>
      <c r="F172" s="54"/>
      <c r="G172" s="53"/>
      <c r="H172" s="53"/>
      <c r="I172" s="53"/>
      <c r="J172" s="53"/>
      <c r="K172" s="53"/>
    </row>
    <row r="173" spans="1:11" s="43" customFormat="1" ht="18.75" x14ac:dyDescent="0.3">
      <c r="A173" s="6" t="s">
        <v>203</v>
      </c>
      <c r="B173" s="6"/>
      <c r="C173" s="6"/>
      <c r="D173" s="6"/>
      <c r="E173" s="6"/>
      <c r="F173" s="54"/>
      <c r="G173" s="53"/>
      <c r="H173" s="53"/>
      <c r="I173" s="53"/>
      <c r="J173" s="53"/>
      <c r="K173" s="53"/>
    </row>
    <row r="174" spans="1:11" s="43" customFormat="1" ht="18.75" x14ac:dyDescent="0.3">
      <c r="A174" s="6" t="s">
        <v>90</v>
      </c>
      <c r="B174" s="6"/>
      <c r="C174" s="6"/>
      <c r="D174" s="6"/>
      <c r="E174" s="6"/>
      <c r="F174" s="54"/>
      <c r="G174" s="53"/>
      <c r="H174" s="53"/>
      <c r="I174" s="53"/>
      <c r="J174" s="53"/>
      <c r="K174" s="53"/>
    </row>
    <row r="175" spans="1:11" s="43" customFormat="1" ht="18.75" x14ac:dyDescent="0.3">
      <c r="A175" s="6" t="s">
        <v>207</v>
      </c>
      <c r="B175" s="6"/>
      <c r="C175" s="6"/>
      <c r="D175" s="6"/>
      <c r="E175" s="6"/>
      <c r="F175" s="54"/>
      <c r="G175" s="53"/>
      <c r="H175" s="53"/>
      <c r="I175" s="53"/>
      <c r="J175" s="53"/>
      <c r="K175" s="53"/>
    </row>
    <row r="176" spans="1:11" s="43" customFormat="1" ht="18.75" x14ac:dyDescent="0.3">
      <c r="A176" s="6" t="s">
        <v>206</v>
      </c>
      <c r="B176" s="6"/>
      <c r="C176" s="6"/>
      <c r="D176" s="6"/>
      <c r="E176" s="6"/>
      <c r="F176" s="54"/>
      <c r="G176" s="53"/>
      <c r="H176" s="53"/>
      <c r="I176" s="53"/>
      <c r="J176" s="53"/>
      <c r="K176" s="53"/>
    </row>
    <row r="177" spans="1:11" s="43" customFormat="1" ht="18.75" x14ac:dyDescent="0.3">
      <c r="A177" s="6" t="s">
        <v>289</v>
      </c>
      <c r="B177" s="6"/>
      <c r="C177" s="6"/>
      <c r="D177" s="6"/>
      <c r="E177" s="6"/>
      <c r="F177" s="54"/>
      <c r="G177" s="53"/>
      <c r="H177" s="53"/>
      <c r="I177" s="53">
        <v>6071.12</v>
      </c>
      <c r="J177" s="53"/>
      <c r="K177" s="53"/>
    </row>
    <row r="178" spans="1:11" s="43" customFormat="1" ht="18.75" x14ac:dyDescent="0.3">
      <c r="A178" s="6" t="s">
        <v>41</v>
      </c>
      <c r="B178" s="6"/>
      <c r="C178" s="6"/>
      <c r="D178" s="6"/>
      <c r="E178" s="6"/>
      <c r="F178" s="54"/>
      <c r="G178" s="53"/>
      <c r="H178" s="53"/>
      <c r="I178" s="53"/>
      <c r="J178" s="53"/>
      <c r="K178" s="53"/>
    </row>
    <row r="179" spans="1:11" s="43" customFormat="1" ht="18.75" x14ac:dyDescent="0.3">
      <c r="A179" s="6" t="s">
        <v>267</v>
      </c>
      <c r="B179" s="6"/>
      <c r="C179" s="6"/>
      <c r="D179" s="6"/>
      <c r="E179" s="6"/>
      <c r="F179" s="54"/>
      <c r="G179" s="53"/>
      <c r="H179" s="53"/>
      <c r="I179" s="53"/>
      <c r="J179" s="53"/>
      <c r="K179" s="53"/>
    </row>
    <row r="180" spans="1:11" s="43" customFormat="1" ht="18.75" x14ac:dyDescent="0.3">
      <c r="A180" s="6" t="s">
        <v>204</v>
      </c>
      <c r="B180" s="6"/>
      <c r="C180" s="6"/>
      <c r="D180" s="6"/>
      <c r="E180" s="6"/>
      <c r="F180" s="54"/>
      <c r="G180" s="53"/>
      <c r="H180" s="53"/>
      <c r="I180" s="53"/>
      <c r="J180" s="53"/>
      <c r="K180" s="53"/>
    </row>
    <row r="181" spans="1:11" s="43" customFormat="1" ht="18.75" x14ac:dyDescent="0.3">
      <c r="A181" s="6" t="s">
        <v>59</v>
      </c>
      <c r="B181" s="6"/>
      <c r="C181" s="6"/>
      <c r="D181" s="6"/>
      <c r="E181" s="6"/>
      <c r="F181" s="54"/>
      <c r="G181" s="53"/>
      <c r="H181" s="53"/>
      <c r="I181" s="53"/>
      <c r="J181" s="53"/>
      <c r="K181" s="53"/>
    </row>
    <row r="182" spans="1:11" s="43" customFormat="1" ht="18.75" x14ac:dyDescent="0.3">
      <c r="A182" s="6" t="s">
        <v>140</v>
      </c>
      <c r="B182" s="6"/>
      <c r="C182" s="6"/>
      <c r="D182" s="6"/>
      <c r="E182" s="6"/>
      <c r="F182" s="54"/>
      <c r="G182" s="53"/>
      <c r="H182" s="53"/>
      <c r="I182" s="53"/>
      <c r="J182" s="53"/>
      <c r="K182" s="53"/>
    </row>
    <row r="183" spans="1:11" s="43" customFormat="1" ht="18.75" x14ac:dyDescent="0.3">
      <c r="A183" s="6" t="s">
        <v>286</v>
      </c>
      <c r="B183" s="6"/>
      <c r="C183" s="6"/>
      <c r="D183" s="6"/>
      <c r="E183" s="6"/>
      <c r="F183" s="54"/>
      <c r="G183" s="53"/>
      <c r="H183" s="53"/>
      <c r="I183" s="53"/>
      <c r="J183" s="53"/>
      <c r="K183" s="53"/>
    </row>
    <row r="184" spans="1:11" s="43" customFormat="1" ht="18.75" x14ac:dyDescent="0.3">
      <c r="A184" s="6" t="s">
        <v>72</v>
      </c>
      <c r="B184" s="6"/>
      <c r="C184" s="6"/>
      <c r="D184" s="6"/>
      <c r="E184" s="6"/>
      <c r="F184" s="54"/>
      <c r="G184" s="53"/>
      <c r="H184" s="53">
        <f>402</f>
        <v>402</v>
      </c>
      <c r="I184" s="53"/>
      <c r="J184" s="53"/>
      <c r="K184" s="53">
        <f>150</f>
        <v>150</v>
      </c>
    </row>
    <row r="185" spans="1:11" s="43" customFormat="1" ht="18.75" x14ac:dyDescent="0.3">
      <c r="A185" s="6" t="s">
        <v>211</v>
      </c>
      <c r="B185" s="6"/>
      <c r="C185" s="6"/>
      <c r="D185" s="6"/>
      <c r="E185" s="6"/>
      <c r="F185" s="54"/>
      <c r="G185" s="53"/>
      <c r="H185" s="53"/>
      <c r="I185" s="53"/>
      <c r="J185" s="53"/>
      <c r="K185" s="53"/>
    </row>
    <row r="186" spans="1:11" s="43" customFormat="1" ht="18.75" x14ac:dyDescent="0.3">
      <c r="A186" s="6" t="s">
        <v>210</v>
      </c>
      <c r="B186" s="6"/>
      <c r="C186" s="6"/>
      <c r="D186" s="6"/>
      <c r="E186" s="6"/>
      <c r="F186" s="54"/>
      <c r="G186" s="53"/>
      <c r="H186" s="53"/>
      <c r="I186" s="53"/>
      <c r="J186" s="53"/>
      <c r="K186" s="53"/>
    </row>
    <row r="187" spans="1:11" s="43" customFormat="1" ht="18.75" x14ac:dyDescent="0.3">
      <c r="A187" s="6" t="s">
        <v>33</v>
      </c>
      <c r="B187" s="6"/>
      <c r="C187" s="6"/>
      <c r="D187" s="6"/>
      <c r="E187" s="6"/>
      <c r="F187" s="74"/>
      <c r="G187" s="53"/>
      <c r="H187" s="53"/>
      <c r="I187" s="53"/>
      <c r="J187" s="53"/>
      <c r="K187" s="53"/>
    </row>
    <row r="188" spans="1:11" s="43" customFormat="1" ht="18.75" x14ac:dyDescent="0.3">
      <c r="A188" s="6" t="s">
        <v>239</v>
      </c>
      <c r="B188" s="6"/>
      <c r="C188" s="6"/>
      <c r="D188" s="6"/>
      <c r="E188" s="6"/>
      <c r="F188" s="74">
        <f>1000</f>
        <v>1000</v>
      </c>
      <c r="G188" s="53">
        <v>1893</v>
      </c>
      <c r="H188" s="53"/>
      <c r="I188" s="53"/>
      <c r="J188" s="53">
        <f>1000</f>
        <v>1000</v>
      </c>
      <c r="K188" s="53"/>
    </row>
    <row r="189" spans="1:11" s="43" customFormat="1" ht="18.75" x14ac:dyDescent="0.3">
      <c r="A189" s="6" t="s">
        <v>172</v>
      </c>
      <c r="B189" s="6"/>
      <c r="C189" s="6"/>
      <c r="D189" s="6"/>
      <c r="E189" s="6"/>
      <c r="F189" s="54"/>
      <c r="G189" s="53"/>
      <c r="H189" s="53"/>
      <c r="I189" s="53"/>
      <c r="J189" s="53"/>
      <c r="K189" s="53"/>
    </row>
    <row r="190" spans="1:11" s="43" customFormat="1" ht="15.75" x14ac:dyDescent="0.25">
      <c r="A190" s="52" t="s">
        <v>4</v>
      </c>
      <c r="B190" s="63"/>
      <c r="C190" s="63"/>
      <c r="D190" s="63"/>
      <c r="E190" s="63"/>
      <c r="F190" s="70">
        <f t="shared" ref="F190:K190" si="1">SUM(F167:F189)</f>
        <v>22318.84</v>
      </c>
      <c r="G190" s="70">
        <f t="shared" si="1"/>
        <v>2785</v>
      </c>
      <c r="H190" s="70">
        <f t="shared" si="1"/>
        <v>41162.129999999997</v>
      </c>
      <c r="I190" s="70">
        <f t="shared" si="1"/>
        <v>18442.36</v>
      </c>
      <c r="J190" s="70">
        <f t="shared" si="1"/>
        <v>3458.64</v>
      </c>
      <c r="K190" s="70">
        <f t="shared" si="1"/>
        <v>8969.91</v>
      </c>
    </row>
    <row r="191" spans="1:11" s="43" customFormat="1" x14ac:dyDescent="0.2">
      <c r="F191" s="75"/>
      <c r="G191" s="75"/>
      <c r="H191" s="75"/>
      <c r="I191" s="75"/>
      <c r="J191" s="75"/>
      <c r="K191" s="75"/>
    </row>
    <row r="192" spans="1:11" s="43" customFormat="1" ht="20.25" x14ac:dyDescent="0.3">
      <c r="A192" s="71" t="s">
        <v>3</v>
      </c>
      <c r="B192" s="72"/>
      <c r="C192" s="72"/>
      <c r="D192" s="72"/>
      <c r="E192" s="73"/>
      <c r="F192" s="76" t="s">
        <v>20</v>
      </c>
      <c r="G192" s="21" t="s">
        <v>21</v>
      </c>
      <c r="H192" s="21" t="s">
        <v>22</v>
      </c>
      <c r="I192" s="21" t="s">
        <v>1</v>
      </c>
      <c r="J192" s="21" t="s">
        <v>2</v>
      </c>
      <c r="K192" s="21" t="s">
        <v>0</v>
      </c>
    </row>
    <row r="193" spans="1:11" s="43" customFormat="1" ht="18.75" x14ac:dyDescent="0.3">
      <c r="A193" s="6" t="s">
        <v>52</v>
      </c>
      <c r="B193" s="6"/>
      <c r="C193" s="6"/>
      <c r="D193" s="6"/>
      <c r="E193" s="6"/>
      <c r="F193" s="53">
        <f>18125.32</f>
        <v>18125.32</v>
      </c>
      <c r="G193" s="53"/>
      <c r="H193" s="53">
        <f>1356.85</f>
        <v>1356.85</v>
      </c>
      <c r="I193" s="53">
        <f>5481.32+14166.89</f>
        <v>19648.21</v>
      </c>
      <c r="J193" s="53"/>
      <c r="K193" s="53">
        <f>5000+349.2</f>
        <v>5349.2</v>
      </c>
    </row>
    <row r="194" spans="1:11" s="43" customFormat="1" ht="18.75" x14ac:dyDescent="0.3">
      <c r="A194" s="6" t="s">
        <v>53</v>
      </c>
      <c r="B194" s="6"/>
      <c r="C194" s="6"/>
      <c r="D194" s="6"/>
      <c r="E194" s="6"/>
      <c r="F194" s="53">
        <f>2.25+2.2+2.25+2.25+2.25+2.25</f>
        <v>13.45</v>
      </c>
      <c r="G194" s="53"/>
      <c r="H194" s="53">
        <f>6.72</f>
        <v>6.72</v>
      </c>
      <c r="I194" s="53">
        <f>2.27+2.23+2.23+2.23</f>
        <v>8.9600000000000009</v>
      </c>
      <c r="J194" s="53">
        <f>2.18</f>
        <v>2.1800000000000002</v>
      </c>
      <c r="K194" s="53">
        <f>2.21</f>
        <v>2.21</v>
      </c>
    </row>
    <row r="195" spans="1:11" s="43" customFormat="1" ht="18.75" x14ac:dyDescent="0.3">
      <c r="A195" s="6" t="s">
        <v>261</v>
      </c>
      <c r="B195" s="6"/>
      <c r="C195" s="6"/>
      <c r="D195" s="6"/>
      <c r="E195" s="6"/>
      <c r="F195" s="54"/>
      <c r="G195" s="53"/>
      <c r="H195" s="53"/>
      <c r="I195" s="53"/>
      <c r="J195" s="53"/>
      <c r="K195" s="53"/>
    </row>
    <row r="196" spans="1:11" s="43" customFormat="1" ht="18.75" x14ac:dyDescent="0.3">
      <c r="A196" s="6" t="s">
        <v>296</v>
      </c>
      <c r="B196" s="6"/>
      <c r="C196" s="6"/>
      <c r="D196" s="6"/>
      <c r="E196" s="6"/>
      <c r="F196" s="54">
        <f>1000</f>
        <v>1000</v>
      </c>
      <c r="G196" s="53"/>
      <c r="H196" s="53"/>
      <c r="I196" s="53"/>
      <c r="J196" s="53"/>
      <c r="K196" s="53"/>
    </row>
    <row r="197" spans="1:11" s="43" customFormat="1" ht="18.75" x14ac:dyDescent="0.3">
      <c r="A197" s="6" t="s">
        <v>306</v>
      </c>
      <c r="B197" s="6"/>
      <c r="C197" s="6"/>
      <c r="D197" s="6"/>
      <c r="E197" s="6"/>
      <c r="F197" s="54"/>
      <c r="G197" s="53">
        <f>1190</f>
        <v>1190</v>
      </c>
      <c r="H197" s="53"/>
      <c r="I197" s="53">
        <f>2000</f>
        <v>2000</v>
      </c>
      <c r="J197" s="53">
        <f>2000</f>
        <v>2000</v>
      </c>
      <c r="K197" s="53">
        <f>2000</f>
        <v>2000</v>
      </c>
    </row>
    <row r="198" spans="1:11" s="43" customFormat="1" ht="18.75" x14ac:dyDescent="0.3">
      <c r="A198" s="6" t="s">
        <v>210</v>
      </c>
      <c r="B198" s="6"/>
      <c r="C198" s="6"/>
      <c r="D198" s="6"/>
      <c r="E198" s="6"/>
      <c r="F198" s="54"/>
      <c r="G198" s="53"/>
      <c r="H198" s="53"/>
      <c r="I198" s="53"/>
      <c r="J198" s="53"/>
      <c r="K198" s="53"/>
    </row>
    <row r="199" spans="1:11" s="43" customFormat="1" ht="18.75" x14ac:dyDescent="0.3">
      <c r="A199" s="6" t="s">
        <v>223</v>
      </c>
      <c r="B199" s="6"/>
      <c r="C199" s="6"/>
      <c r="D199" s="6"/>
      <c r="E199" s="6"/>
      <c r="F199" s="54">
        <f>21+368+1220</f>
        <v>1609</v>
      </c>
      <c r="G199" s="53">
        <f>368+1230</f>
        <v>1598</v>
      </c>
      <c r="H199" s="53">
        <f>368+3355+825.94+1220</f>
        <v>5768.9400000000005</v>
      </c>
      <c r="I199" s="53">
        <f>3355+368+674.66+1220</f>
        <v>5617.66</v>
      </c>
      <c r="J199" s="53">
        <f>3335+368+19+87+29+122+297+1220</f>
        <v>5477</v>
      </c>
      <c r="K199" s="53">
        <f>844.24+368+1220</f>
        <v>2432.2399999999998</v>
      </c>
    </row>
    <row r="200" spans="1:11" s="43" customFormat="1" ht="18.75" x14ac:dyDescent="0.3">
      <c r="A200" s="6" t="s">
        <v>169</v>
      </c>
      <c r="B200" s="6"/>
      <c r="C200" s="6"/>
      <c r="D200" s="6"/>
      <c r="E200" s="6"/>
      <c r="F200" s="54"/>
      <c r="G200" s="53"/>
      <c r="H200" s="53"/>
      <c r="I200" s="53"/>
      <c r="J200" s="53"/>
      <c r="K200" s="53"/>
    </row>
    <row r="201" spans="1:11" s="43" customFormat="1" ht="18.75" x14ac:dyDescent="0.3">
      <c r="A201" s="6" t="s">
        <v>90</v>
      </c>
      <c r="B201" s="6"/>
      <c r="C201" s="6"/>
      <c r="D201" s="6"/>
      <c r="E201" s="6"/>
      <c r="F201" s="54"/>
      <c r="G201" s="53"/>
      <c r="H201" s="53"/>
      <c r="I201" s="53"/>
      <c r="J201" s="53"/>
      <c r="K201" s="53"/>
    </row>
    <row r="202" spans="1:11" s="43" customFormat="1" ht="18.75" x14ac:dyDescent="0.3">
      <c r="A202" s="6" t="s">
        <v>295</v>
      </c>
      <c r="B202" s="6"/>
      <c r="C202" s="6"/>
      <c r="D202" s="6"/>
      <c r="E202" s="6"/>
      <c r="F202" s="54">
        <f>158.04</f>
        <v>158.04</v>
      </c>
      <c r="G202" s="53"/>
      <c r="H202" s="53"/>
      <c r="I202" s="53"/>
      <c r="J202" s="53"/>
      <c r="K202" s="53"/>
    </row>
    <row r="203" spans="1:11" s="43" customFormat="1" ht="18.75" x14ac:dyDescent="0.3">
      <c r="A203" s="6" t="s">
        <v>180</v>
      </c>
      <c r="B203" s="6"/>
      <c r="C203" s="6"/>
      <c r="D203" s="6"/>
      <c r="E203" s="6"/>
      <c r="F203" s="54">
        <f>137</f>
        <v>137</v>
      </c>
      <c r="G203" s="53"/>
      <c r="H203" s="53"/>
      <c r="I203" s="53"/>
      <c r="J203" s="53">
        <f>100</f>
        <v>100</v>
      </c>
      <c r="K203" s="53"/>
    </row>
    <row r="204" spans="1:11" s="43" customFormat="1" ht="18.75" x14ac:dyDescent="0.3">
      <c r="A204" s="62" t="s">
        <v>255</v>
      </c>
      <c r="B204" s="6"/>
      <c r="C204" s="6"/>
      <c r="D204" s="6"/>
      <c r="E204" s="6"/>
      <c r="F204" s="54"/>
      <c r="G204" s="53"/>
      <c r="H204" s="53"/>
      <c r="I204" s="53"/>
      <c r="J204" s="53"/>
      <c r="K204" s="53"/>
    </row>
    <row r="205" spans="1:11" s="43" customFormat="1" ht="18.75" x14ac:dyDescent="0.3">
      <c r="A205" s="6" t="s">
        <v>297</v>
      </c>
      <c r="B205" s="6"/>
      <c r="C205" s="6"/>
      <c r="D205" s="6"/>
      <c r="E205" s="6"/>
      <c r="F205" s="54"/>
      <c r="G205" s="53"/>
      <c r="H205" s="53"/>
      <c r="I205" s="53"/>
      <c r="J205" s="53"/>
      <c r="K205" s="53"/>
    </row>
    <row r="206" spans="1:11" s="43" customFormat="1" ht="18.75" x14ac:dyDescent="0.3">
      <c r="A206" s="6" t="s">
        <v>289</v>
      </c>
      <c r="B206" s="6"/>
      <c r="C206" s="6"/>
      <c r="D206" s="6"/>
      <c r="E206" s="77"/>
      <c r="F206" s="54"/>
      <c r="G206" s="53"/>
      <c r="H206" s="53"/>
      <c r="I206" s="53"/>
      <c r="J206" s="53"/>
      <c r="K206" s="53"/>
    </row>
    <row r="207" spans="1:11" s="43" customFormat="1" ht="18.75" x14ac:dyDescent="0.3">
      <c r="A207" s="6" t="s">
        <v>288</v>
      </c>
      <c r="B207" s="6"/>
      <c r="C207" s="6"/>
      <c r="D207" s="6"/>
      <c r="E207" s="77"/>
      <c r="F207" s="54"/>
      <c r="G207" s="53"/>
      <c r="H207" s="53"/>
      <c r="I207" s="53"/>
      <c r="J207" s="53"/>
      <c r="K207" s="53"/>
    </row>
    <row r="208" spans="1:11" s="43" customFormat="1" ht="18.75" x14ac:dyDescent="0.3">
      <c r="A208" s="6" t="s">
        <v>152</v>
      </c>
      <c r="B208" s="6"/>
      <c r="C208" s="6"/>
      <c r="D208" s="6"/>
      <c r="E208" s="77"/>
      <c r="F208" s="54"/>
      <c r="G208" s="53"/>
      <c r="H208" s="53"/>
      <c r="I208" s="53"/>
      <c r="J208" s="53"/>
      <c r="K208" s="53"/>
    </row>
    <row r="209" spans="1:11" s="43" customFormat="1" ht="16.5" thickBot="1" x14ac:dyDescent="0.3">
      <c r="A209" s="52" t="s">
        <v>4</v>
      </c>
      <c r="B209" s="63"/>
      <c r="C209" s="63"/>
      <c r="D209" s="63"/>
      <c r="E209" s="78"/>
      <c r="F209" s="79">
        <f t="shared" ref="F209:K209" si="2">SUM(F193:F208)</f>
        <v>21042.81</v>
      </c>
      <c r="G209" s="79">
        <f t="shared" si="2"/>
        <v>2788</v>
      </c>
      <c r="H209" s="79">
        <f t="shared" si="2"/>
        <v>7132.51</v>
      </c>
      <c r="I209" s="79">
        <f t="shared" si="2"/>
        <v>27274.829999999998</v>
      </c>
      <c r="J209" s="79">
        <f t="shared" si="2"/>
        <v>7579.18</v>
      </c>
      <c r="K209" s="79">
        <f t="shared" si="2"/>
        <v>9783.65</v>
      </c>
    </row>
    <row r="210" spans="1:11" s="43" customFormat="1" x14ac:dyDescent="0.2">
      <c r="F210" s="75"/>
      <c r="G210" s="75"/>
      <c r="H210" s="75"/>
      <c r="I210" s="75"/>
      <c r="J210" s="75"/>
      <c r="K210" s="75"/>
    </row>
    <row r="211" spans="1:11" s="43" customFormat="1" ht="24.75" x14ac:dyDescent="0.5">
      <c r="A211" s="48" t="s">
        <v>13</v>
      </c>
      <c r="B211" s="49"/>
      <c r="C211" s="49"/>
      <c r="D211" s="49"/>
      <c r="F211" s="75"/>
      <c r="G211" s="75"/>
      <c r="H211" s="75"/>
      <c r="I211" s="75"/>
      <c r="J211" s="75"/>
      <c r="K211" s="75"/>
    </row>
    <row r="212" spans="1:11" s="43" customFormat="1" ht="19.5" x14ac:dyDescent="0.35">
      <c r="A212" s="50" t="s">
        <v>5</v>
      </c>
      <c r="B212" s="51"/>
      <c r="C212" s="51"/>
      <c r="D212" s="51"/>
      <c r="E212" s="51"/>
      <c r="F212" s="52" t="s">
        <v>14</v>
      </c>
      <c r="G212" s="10" t="s">
        <v>15</v>
      </c>
      <c r="H212" s="10" t="s">
        <v>16</v>
      </c>
      <c r="I212" s="10" t="s">
        <v>17</v>
      </c>
      <c r="J212" s="10" t="s">
        <v>18</v>
      </c>
      <c r="K212" s="10" t="s">
        <v>19</v>
      </c>
    </row>
    <row r="213" spans="1:11" s="43" customFormat="1" ht="18.75" x14ac:dyDescent="0.3">
      <c r="A213" s="6" t="s">
        <v>60</v>
      </c>
      <c r="B213" s="6"/>
      <c r="C213" s="6"/>
      <c r="D213" s="80"/>
      <c r="E213" s="6"/>
      <c r="F213" s="53"/>
      <c r="G213" s="53"/>
      <c r="H213" s="53"/>
      <c r="I213" s="53"/>
      <c r="J213" s="53"/>
      <c r="K213" s="53"/>
    </row>
    <row r="214" spans="1:11" s="43" customFormat="1" ht="18.75" x14ac:dyDescent="0.3">
      <c r="A214" s="6" t="s">
        <v>61</v>
      </c>
      <c r="B214" s="6"/>
      <c r="C214" s="6"/>
      <c r="D214" s="6"/>
      <c r="E214" s="6"/>
      <c r="F214" s="81">
        <f>4171909.25</f>
        <v>4171909.25</v>
      </c>
      <c r="G214" s="55">
        <f>154548</f>
        <v>154548</v>
      </c>
      <c r="H214" s="53">
        <f>487348</f>
        <v>487348</v>
      </c>
      <c r="I214" s="53">
        <f>4436801.34</f>
        <v>4436801.34</v>
      </c>
      <c r="J214" s="53">
        <f>323781+154000</f>
        <v>477781</v>
      </c>
      <c r="K214" s="53">
        <f>330428+3132</f>
        <v>333560</v>
      </c>
    </row>
    <row r="215" spans="1:11" s="43" customFormat="1" ht="18.75" x14ac:dyDescent="0.3">
      <c r="A215" s="6" t="s">
        <v>173</v>
      </c>
      <c r="B215" s="6"/>
      <c r="C215" s="6"/>
      <c r="D215" s="6"/>
      <c r="E215" s="6"/>
      <c r="F215" s="53"/>
      <c r="G215" s="53">
        <f>895.59</f>
        <v>895.59</v>
      </c>
      <c r="H215" s="53">
        <f>0.63</f>
        <v>0.63</v>
      </c>
      <c r="I215" s="53">
        <f>1308</f>
        <v>1308</v>
      </c>
      <c r="J215" s="53">
        <f>257.25+21352</f>
        <v>21609.25</v>
      </c>
      <c r="K215" s="53">
        <f>256.05</f>
        <v>256.05</v>
      </c>
    </row>
    <row r="216" spans="1:11" s="43" customFormat="1" ht="18.75" x14ac:dyDescent="0.3">
      <c r="A216" s="6" t="s">
        <v>63</v>
      </c>
      <c r="B216" s="6"/>
      <c r="C216" s="6"/>
      <c r="D216" s="6"/>
      <c r="E216" s="6"/>
      <c r="F216" s="54">
        <f>749536.23</f>
        <v>749536.23</v>
      </c>
      <c r="G216" s="60"/>
      <c r="H216" s="53">
        <f>1504712.58</f>
        <v>1504712.58</v>
      </c>
      <c r="I216" s="53">
        <f>366158.33</f>
        <v>366158.33</v>
      </c>
      <c r="J216" s="53"/>
      <c r="K216" s="53">
        <f>273500</f>
        <v>273500</v>
      </c>
    </row>
    <row r="217" spans="1:11" s="43" customFormat="1" ht="18.75" x14ac:dyDescent="0.3">
      <c r="A217" s="6" t="s">
        <v>64</v>
      </c>
      <c r="B217" s="6"/>
      <c r="C217" s="6"/>
      <c r="D217" s="6"/>
      <c r="E217" s="6"/>
      <c r="F217" s="53"/>
      <c r="G217" s="53"/>
      <c r="H217" s="53"/>
      <c r="I217" s="53"/>
      <c r="J217" s="53"/>
      <c r="K217" s="53"/>
    </row>
    <row r="218" spans="1:11" s="43" customFormat="1" ht="15.75" x14ac:dyDescent="0.25">
      <c r="A218" s="52" t="s">
        <v>4</v>
      </c>
      <c r="B218" s="64"/>
      <c r="C218" s="64"/>
      <c r="D218" s="64"/>
      <c r="E218" s="64"/>
      <c r="F218" s="82">
        <f t="shared" ref="F218:K218" si="3">SUM(F213:F217)</f>
        <v>4921445.4800000004</v>
      </c>
      <c r="G218" s="70">
        <f t="shared" si="3"/>
        <v>155443.59</v>
      </c>
      <c r="H218" s="70">
        <f t="shared" si="3"/>
        <v>1992061.21</v>
      </c>
      <c r="I218" s="70">
        <f t="shared" si="3"/>
        <v>4804267.67</v>
      </c>
      <c r="J218" s="70">
        <f t="shared" si="3"/>
        <v>499390.25</v>
      </c>
      <c r="K218" s="70">
        <f t="shared" si="3"/>
        <v>607316.05000000005</v>
      </c>
    </row>
    <row r="219" spans="1:11" s="43" customFormat="1" x14ac:dyDescent="0.2"/>
    <row r="220" spans="1:11" s="43" customFormat="1" x14ac:dyDescent="0.2"/>
    <row r="221" spans="1:11" s="43" customFormat="1" ht="19.5" x14ac:dyDescent="0.35">
      <c r="A221" s="50" t="s">
        <v>5</v>
      </c>
      <c r="B221" s="51"/>
      <c r="C221" s="51"/>
      <c r="D221" s="51"/>
      <c r="E221" s="51"/>
      <c r="F221" s="52" t="s">
        <v>20</v>
      </c>
      <c r="G221" s="10" t="s">
        <v>21</v>
      </c>
      <c r="H221" s="10" t="s">
        <v>22</v>
      </c>
      <c r="I221" s="10" t="s">
        <v>1</v>
      </c>
      <c r="J221" s="10" t="s">
        <v>2</v>
      </c>
      <c r="K221" s="10" t="s">
        <v>0</v>
      </c>
    </row>
    <row r="222" spans="1:11" s="43" customFormat="1" ht="18.75" x14ac:dyDescent="0.3">
      <c r="A222" s="6" t="s">
        <v>60</v>
      </c>
      <c r="B222" s="6"/>
      <c r="C222" s="6"/>
      <c r="D222" s="80"/>
      <c r="E222" s="6"/>
      <c r="F222" s="53"/>
      <c r="G222" s="53"/>
      <c r="H222" s="53"/>
      <c r="I222" s="53"/>
      <c r="J222" s="53"/>
      <c r="K222" s="53"/>
    </row>
    <row r="223" spans="1:11" s="43" customFormat="1" ht="18.75" x14ac:dyDescent="0.3">
      <c r="A223" s="6" t="s">
        <v>67</v>
      </c>
      <c r="B223" s="6"/>
      <c r="C223" s="6"/>
      <c r="D223" s="6"/>
      <c r="E223" s="6"/>
      <c r="F223" s="53">
        <f>4511888.54</f>
        <v>4511888.54</v>
      </c>
      <c r="G223" s="54">
        <f>316629</f>
        <v>316629</v>
      </c>
      <c r="H223" s="53">
        <v>311950</v>
      </c>
      <c r="I223" s="53">
        <f>4152693.42</f>
        <v>4152693.42</v>
      </c>
      <c r="J223" s="53">
        <f>591599</f>
        <v>591599</v>
      </c>
      <c r="K223" s="53">
        <v>553788</v>
      </c>
    </row>
    <row r="224" spans="1:11" s="43" customFormat="1" ht="18.75" x14ac:dyDescent="0.3">
      <c r="A224" s="6" t="s">
        <v>62</v>
      </c>
      <c r="B224" s="6"/>
      <c r="C224" s="6"/>
      <c r="D224" s="6"/>
      <c r="E224" s="6"/>
      <c r="F224" s="53">
        <f>268.4</f>
        <v>268.39999999999998</v>
      </c>
      <c r="G224" s="53">
        <f>1252.83</f>
        <v>1252.83</v>
      </c>
      <c r="H224" s="53">
        <f>245.07</f>
        <v>245.07</v>
      </c>
      <c r="I224" s="53">
        <f>247.76</f>
        <v>247.76</v>
      </c>
      <c r="J224" s="53">
        <v>249.73</v>
      </c>
      <c r="K224" s="53">
        <f>252.21</f>
        <v>252.21</v>
      </c>
    </row>
    <row r="225" spans="1:11" s="43" customFormat="1" ht="18.75" x14ac:dyDescent="0.3">
      <c r="A225" s="6" t="s">
        <v>63</v>
      </c>
      <c r="B225" s="6"/>
      <c r="C225" s="6"/>
      <c r="D225" s="6"/>
      <c r="E225" s="6"/>
      <c r="F225" s="68">
        <f>700000</f>
        <v>700000</v>
      </c>
      <c r="G225" s="53"/>
      <c r="H225" s="53">
        <v>50000</v>
      </c>
      <c r="I225" s="53">
        <f>719083.24</f>
        <v>719083.24</v>
      </c>
      <c r="J225" s="53"/>
      <c r="K225" s="53">
        <f>204814.85</f>
        <v>204814.85</v>
      </c>
    </row>
    <row r="226" spans="1:11" s="43" customFormat="1" ht="18.75" x14ac:dyDescent="0.3">
      <c r="A226" s="6" t="s">
        <v>64</v>
      </c>
      <c r="B226" s="6"/>
      <c r="C226" s="6"/>
      <c r="D226" s="6"/>
      <c r="E226" s="6"/>
      <c r="F226" s="54"/>
      <c r="G226" s="53"/>
      <c r="H226" s="53"/>
      <c r="I226" s="53"/>
      <c r="J226" s="53"/>
      <c r="K226" s="53"/>
    </row>
    <row r="227" spans="1:11" s="43" customFormat="1" ht="15.75" x14ac:dyDescent="0.25">
      <c r="A227" s="52" t="s">
        <v>4</v>
      </c>
      <c r="B227" s="64"/>
      <c r="C227" s="64"/>
      <c r="D227" s="64"/>
      <c r="E227" s="64"/>
      <c r="F227" s="82">
        <f t="shared" ref="F227:K227" si="4">SUM(F222:F226)</f>
        <v>5212156.9400000004</v>
      </c>
      <c r="G227" s="70">
        <f t="shared" si="4"/>
        <v>317881.83</v>
      </c>
      <c r="H227" s="70">
        <f t="shared" si="4"/>
        <v>362195.07</v>
      </c>
      <c r="I227" s="70">
        <f t="shared" si="4"/>
        <v>4872024.42</v>
      </c>
      <c r="J227" s="70">
        <f t="shared" si="4"/>
        <v>591848.73</v>
      </c>
      <c r="K227" s="70">
        <f t="shared" si="4"/>
        <v>758855.05999999994</v>
      </c>
    </row>
    <row r="228" spans="1:11" s="43" customFormat="1" x14ac:dyDescent="0.2">
      <c r="F228" s="75"/>
      <c r="G228" s="75"/>
      <c r="H228" s="75"/>
      <c r="I228" s="75"/>
      <c r="J228" s="75"/>
      <c r="K228" s="75"/>
    </row>
    <row r="229" spans="1:11" s="43" customFormat="1" ht="19.5" x14ac:dyDescent="0.35">
      <c r="A229" s="50" t="s">
        <v>66</v>
      </c>
      <c r="B229" s="51"/>
      <c r="C229" s="51"/>
      <c r="D229" s="51"/>
      <c r="E229" s="51"/>
      <c r="F229" s="52" t="s">
        <v>14</v>
      </c>
      <c r="G229" s="10" t="s">
        <v>15</v>
      </c>
      <c r="H229" s="10" t="s">
        <v>16</v>
      </c>
      <c r="I229" s="10" t="s">
        <v>17</v>
      </c>
      <c r="J229" s="10" t="s">
        <v>18</v>
      </c>
      <c r="K229" s="10" t="s">
        <v>19</v>
      </c>
    </row>
    <row r="230" spans="1:11" s="43" customFormat="1" ht="18.75" x14ac:dyDescent="0.3">
      <c r="A230" s="6" t="s">
        <v>60</v>
      </c>
      <c r="B230" s="51"/>
      <c r="C230" s="51"/>
      <c r="D230" s="51"/>
      <c r="E230" s="51"/>
      <c r="F230" s="27"/>
      <c r="G230" s="27"/>
      <c r="H230" s="27"/>
      <c r="I230" s="27"/>
      <c r="J230" s="27"/>
      <c r="K230" s="27"/>
    </row>
    <row r="231" spans="1:11" s="43" customFormat="1" ht="18.75" x14ac:dyDescent="0.3">
      <c r="A231" s="6" t="s">
        <v>67</v>
      </c>
      <c r="B231" s="51"/>
      <c r="C231" s="51"/>
      <c r="D231" s="51"/>
      <c r="E231" s="51"/>
      <c r="F231" s="27">
        <f>32749</f>
        <v>32749</v>
      </c>
      <c r="G231" s="27">
        <f>4445</f>
        <v>4445</v>
      </c>
      <c r="H231" s="27">
        <f>8992</f>
        <v>8992</v>
      </c>
      <c r="I231" s="27">
        <f>43870</f>
        <v>43870</v>
      </c>
      <c r="J231" s="27">
        <f>2488+1500</f>
        <v>3988</v>
      </c>
      <c r="K231" s="27">
        <f>150+1000</f>
        <v>1150</v>
      </c>
    </row>
    <row r="232" spans="1:11" s="43" customFormat="1" ht="18.75" x14ac:dyDescent="0.3">
      <c r="A232" s="6" t="s">
        <v>68</v>
      </c>
      <c r="B232" s="51"/>
      <c r="C232" s="51"/>
      <c r="D232" s="51"/>
      <c r="E232" s="51"/>
      <c r="F232" s="27"/>
      <c r="G232" s="27"/>
      <c r="H232" s="27"/>
      <c r="I232" s="27"/>
      <c r="J232" s="27"/>
      <c r="K232" s="27"/>
    </row>
    <row r="233" spans="1:11" s="43" customFormat="1" ht="19.5" thickBot="1" x14ac:dyDescent="0.35">
      <c r="A233" s="6" t="s">
        <v>304</v>
      </c>
      <c r="B233" s="51"/>
      <c r="C233" s="51"/>
      <c r="D233" s="51"/>
      <c r="E233" s="51"/>
      <c r="F233" s="28"/>
      <c r="G233" s="28"/>
      <c r="H233" s="28"/>
      <c r="I233" s="28">
        <f>1079</f>
        <v>1079</v>
      </c>
      <c r="J233" s="28"/>
      <c r="K233" s="28"/>
    </row>
    <row r="234" spans="1:11" s="43" customFormat="1" ht="18.75" thickBot="1" x14ac:dyDescent="0.3">
      <c r="A234" s="52" t="s">
        <v>4</v>
      </c>
      <c r="B234" s="64"/>
      <c r="C234" s="51"/>
      <c r="D234" s="51"/>
      <c r="E234" s="83"/>
      <c r="F234" s="84">
        <f t="shared" ref="F234:K234" si="5">SUM(F230:F233)</f>
        <v>32749</v>
      </c>
      <c r="G234" s="85">
        <f t="shared" si="5"/>
        <v>4445</v>
      </c>
      <c r="H234" s="85">
        <f t="shared" si="5"/>
        <v>8992</v>
      </c>
      <c r="I234" s="85">
        <f t="shared" si="5"/>
        <v>44949</v>
      </c>
      <c r="J234" s="85">
        <f t="shared" si="5"/>
        <v>3988</v>
      </c>
      <c r="K234" s="86">
        <f t="shared" si="5"/>
        <v>1150</v>
      </c>
    </row>
    <row r="235" spans="1:11" s="43" customFormat="1" ht="18.75" x14ac:dyDescent="0.3">
      <c r="A235" s="62"/>
      <c r="B235" s="87"/>
      <c r="C235" s="87"/>
      <c r="D235" s="87"/>
      <c r="E235" s="87"/>
      <c r="F235" s="13"/>
      <c r="G235" s="13"/>
      <c r="H235" s="13"/>
      <c r="I235" s="13"/>
      <c r="J235" s="13"/>
      <c r="K235" s="13"/>
    </row>
    <row r="236" spans="1:11" s="43" customFormat="1" ht="19.5" x14ac:dyDescent="0.35">
      <c r="A236" s="50" t="s">
        <v>66</v>
      </c>
      <c r="B236" s="51"/>
      <c r="C236" s="51"/>
      <c r="D236" s="51"/>
      <c r="E236" s="51"/>
      <c r="F236" s="52" t="s">
        <v>20</v>
      </c>
      <c r="G236" s="10" t="s">
        <v>21</v>
      </c>
      <c r="H236" s="10" t="s">
        <v>22</v>
      </c>
      <c r="I236" s="10" t="s">
        <v>1</v>
      </c>
      <c r="J236" s="10" t="s">
        <v>2</v>
      </c>
      <c r="K236" s="10" t="s">
        <v>0</v>
      </c>
    </row>
    <row r="237" spans="1:11" s="43" customFormat="1" ht="18.75" x14ac:dyDescent="0.3">
      <c r="A237" s="6" t="s">
        <v>60</v>
      </c>
      <c r="B237" s="51"/>
      <c r="C237" s="51"/>
      <c r="D237" s="51"/>
      <c r="E237" s="51"/>
      <c r="F237" s="27"/>
      <c r="G237" s="27"/>
      <c r="H237" s="27"/>
      <c r="I237" s="27"/>
      <c r="J237" s="27"/>
      <c r="K237" s="27"/>
    </row>
    <row r="238" spans="1:11" s="43" customFormat="1" ht="18.75" x14ac:dyDescent="0.3">
      <c r="A238" s="6" t="s">
        <v>67</v>
      </c>
      <c r="B238" s="51"/>
      <c r="C238" s="51"/>
      <c r="D238" s="51"/>
      <c r="E238" s="51"/>
      <c r="F238" s="27">
        <f>36785</f>
        <v>36785</v>
      </c>
      <c r="G238" s="27"/>
      <c r="H238" s="27">
        <f>4774</f>
        <v>4774</v>
      </c>
      <c r="I238" s="88">
        <f>34262</f>
        <v>34262</v>
      </c>
      <c r="J238" s="27">
        <f>4900</f>
        <v>4900</v>
      </c>
      <c r="K238" s="27">
        <f>2570</f>
        <v>2570</v>
      </c>
    </row>
    <row r="239" spans="1:11" s="43" customFormat="1" ht="18.75" x14ac:dyDescent="0.3">
      <c r="A239" s="6" t="s">
        <v>68</v>
      </c>
      <c r="B239" s="51"/>
      <c r="C239" s="51"/>
      <c r="D239" s="51"/>
      <c r="E239" s="51"/>
      <c r="F239" s="27"/>
      <c r="G239" s="27"/>
      <c r="H239" s="27"/>
      <c r="I239" s="27"/>
      <c r="J239" s="27"/>
      <c r="K239" s="27"/>
    </row>
    <row r="240" spans="1:11" s="43" customFormat="1" ht="19.5" thickBot="1" x14ac:dyDescent="0.35">
      <c r="A240" s="6" t="s">
        <v>179</v>
      </c>
      <c r="B240" s="51"/>
      <c r="C240" s="51"/>
      <c r="D240" s="51"/>
      <c r="E240" s="51"/>
      <c r="F240" s="27"/>
      <c r="G240" s="27"/>
      <c r="H240" s="27"/>
      <c r="I240" s="27"/>
      <c r="J240" s="28"/>
      <c r="K240" s="28"/>
    </row>
    <row r="241" spans="1:12" s="43" customFormat="1" ht="18.75" thickBot="1" x14ac:dyDescent="0.3">
      <c r="A241" s="89" t="s">
        <v>4</v>
      </c>
      <c r="B241" s="90"/>
      <c r="C241" s="51"/>
      <c r="D241" s="51"/>
      <c r="E241" s="51"/>
      <c r="F241" s="86">
        <f t="shared" ref="F241:K241" si="6">SUM(F237:F240)</f>
        <v>36785</v>
      </c>
      <c r="G241" s="86">
        <f t="shared" si="6"/>
        <v>0</v>
      </c>
      <c r="H241" s="86">
        <f t="shared" si="6"/>
        <v>4774</v>
      </c>
      <c r="I241" s="86">
        <f t="shared" si="6"/>
        <v>34262</v>
      </c>
      <c r="J241" s="84">
        <f t="shared" si="6"/>
        <v>4900</v>
      </c>
      <c r="K241" s="86">
        <f t="shared" si="6"/>
        <v>2570</v>
      </c>
    </row>
    <row r="242" spans="1:12" s="43" customFormat="1" x14ac:dyDescent="0.2">
      <c r="F242" s="75"/>
      <c r="G242" s="75"/>
      <c r="H242" s="75"/>
      <c r="I242" s="75"/>
      <c r="J242" s="75"/>
      <c r="K242" s="75"/>
    </row>
    <row r="243" spans="1:12" s="43" customFormat="1" x14ac:dyDescent="0.2"/>
    <row r="244" spans="1:12" s="43" customFormat="1" ht="19.5" x14ac:dyDescent="0.35">
      <c r="A244" s="50" t="s">
        <v>6</v>
      </c>
      <c r="B244" s="51"/>
      <c r="C244" s="51"/>
      <c r="D244" s="51"/>
      <c r="E244" s="51"/>
      <c r="F244" s="52" t="s">
        <v>14</v>
      </c>
      <c r="G244" s="10" t="s">
        <v>15</v>
      </c>
      <c r="H244" s="10" t="s">
        <v>16</v>
      </c>
      <c r="I244" s="10" t="s">
        <v>17</v>
      </c>
      <c r="J244" s="10" t="s">
        <v>18</v>
      </c>
      <c r="K244" s="10" t="s">
        <v>19</v>
      </c>
    </row>
    <row r="245" spans="1:12" s="43" customFormat="1" ht="18.75" x14ac:dyDescent="0.3">
      <c r="A245" s="6" t="s">
        <v>65</v>
      </c>
      <c r="B245" s="6"/>
      <c r="C245" s="6"/>
      <c r="D245" s="6"/>
      <c r="E245" s="6"/>
      <c r="F245" s="53">
        <f>155333.21</f>
        <v>155333.21</v>
      </c>
      <c r="G245" s="53">
        <f>F252</f>
        <v>87517.599999999991</v>
      </c>
      <c r="H245" s="53">
        <f>G252</f>
        <v>120119.59999999998</v>
      </c>
      <c r="I245" s="53">
        <f>H252</f>
        <v>138117.09999999998</v>
      </c>
      <c r="J245" s="53">
        <f>I252</f>
        <v>90409.099999999977</v>
      </c>
      <c r="K245" s="53">
        <f>J252</f>
        <v>112481.89999999998</v>
      </c>
    </row>
    <row r="246" spans="1:12" s="43" customFormat="1" ht="18.75" x14ac:dyDescent="0.3">
      <c r="A246" s="6" t="s">
        <v>171</v>
      </c>
      <c r="B246" s="6"/>
      <c r="C246" s="6"/>
      <c r="D246" s="6"/>
      <c r="E246" s="6"/>
      <c r="F246" s="53"/>
      <c r="G246" s="53"/>
      <c r="H246" s="54"/>
      <c r="I246" s="53"/>
      <c r="J246" s="53"/>
      <c r="K246" s="53"/>
    </row>
    <row r="247" spans="1:12" s="43" customFormat="1" ht="18.75" x14ac:dyDescent="0.3">
      <c r="A247" s="6" t="s">
        <v>168</v>
      </c>
      <c r="B247" s="6"/>
      <c r="C247" s="6"/>
      <c r="D247" s="6"/>
      <c r="E247" s="6"/>
      <c r="F247" s="91">
        <f>20900</f>
        <v>20900</v>
      </c>
      <c r="G247" s="91">
        <f>31900</f>
        <v>31900</v>
      </c>
      <c r="H247" s="91">
        <f>26950</f>
        <v>26950</v>
      </c>
      <c r="I247" s="91">
        <f>14250</f>
        <v>14250</v>
      </c>
      <c r="J247" s="91">
        <f>12000</f>
        <v>12000</v>
      </c>
      <c r="K247" s="91">
        <f>9650</f>
        <v>9650</v>
      </c>
    </row>
    <row r="248" spans="1:12" s="43" customFormat="1" ht="18.75" x14ac:dyDescent="0.3">
      <c r="A248" s="6" t="s">
        <v>224</v>
      </c>
      <c r="B248" s="6"/>
      <c r="C248" s="6"/>
      <c r="D248" s="6"/>
      <c r="E248" s="6"/>
      <c r="F248" s="91"/>
      <c r="G248" s="91"/>
      <c r="H248" s="91"/>
      <c r="I248" s="91"/>
      <c r="J248" s="91"/>
      <c r="K248" s="91"/>
    </row>
    <row r="249" spans="1:12" s="43" customFormat="1" ht="18.75" x14ac:dyDescent="0.3">
      <c r="A249" s="6" t="s">
        <v>228</v>
      </c>
      <c r="B249" s="6"/>
      <c r="C249" s="6"/>
      <c r="D249" s="6"/>
      <c r="E249" s="6"/>
      <c r="F249" s="91"/>
      <c r="G249" s="91"/>
      <c r="H249" s="91"/>
      <c r="I249" s="91"/>
      <c r="J249" s="91"/>
      <c r="K249" s="91">
        <f>4708</f>
        <v>4708</v>
      </c>
    </row>
    <row r="250" spans="1:12" s="43" customFormat="1" ht="18.75" x14ac:dyDescent="0.3">
      <c r="A250" s="6" t="s">
        <v>225</v>
      </c>
      <c r="B250" s="6"/>
      <c r="C250" s="6"/>
      <c r="D250" s="6"/>
      <c r="E250" s="6"/>
      <c r="F250" s="91">
        <f>12000</f>
        <v>12000</v>
      </c>
      <c r="G250" s="91">
        <f>12000</f>
        <v>12000</v>
      </c>
      <c r="H250" s="91">
        <f>6000</f>
        <v>6000</v>
      </c>
      <c r="I250" s="91">
        <f>18000</f>
        <v>18000</v>
      </c>
      <c r="J250" s="91">
        <f>12000</f>
        <v>12000</v>
      </c>
      <c r="K250" s="91">
        <f>3000</f>
        <v>3000</v>
      </c>
    </row>
    <row r="251" spans="1:12" s="43" customFormat="1" ht="19.5" thickBot="1" x14ac:dyDescent="0.35">
      <c r="A251" s="6" t="s">
        <v>226</v>
      </c>
      <c r="B251" s="6"/>
      <c r="C251" s="6"/>
      <c r="D251" s="6"/>
      <c r="E251" s="6"/>
      <c r="F251" s="91">
        <f>100715.61</f>
        <v>100715.61</v>
      </c>
      <c r="G251" s="91">
        <f>11298</f>
        <v>11298</v>
      </c>
      <c r="H251" s="91">
        <f>14952.5</f>
        <v>14952.5</v>
      </c>
      <c r="I251" s="91">
        <f>79958</f>
        <v>79958</v>
      </c>
      <c r="J251" s="91">
        <f>1927.2</f>
        <v>1927.2</v>
      </c>
      <c r="K251" s="91">
        <f>4259</f>
        <v>4259</v>
      </c>
    </row>
    <row r="252" spans="1:12" s="43" customFormat="1" ht="19.5" thickBot="1" x14ac:dyDescent="0.35">
      <c r="A252" s="52" t="s">
        <v>7</v>
      </c>
      <c r="B252" s="64"/>
      <c r="C252" s="64"/>
      <c r="D252" s="6"/>
      <c r="E252" s="77"/>
      <c r="F252" s="92">
        <f t="shared" ref="F252:K252" si="7">SUM(F245:F250)-F251</f>
        <v>87517.599999999991</v>
      </c>
      <c r="G252" s="92">
        <f>SUM(G245:G250)-G251</f>
        <v>120119.59999999998</v>
      </c>
      <c r="H252" s="92">
        <f t="shared" si="7"/>
        <v>138117.09999999998</v>
      </c>
      <c r="I252" s="92">
        <f t="shared" si="7"/>
        <v>90409.099999999977</v>
      </c>
      <c r="J252" s="92">
        <f t="shared" si="7"/>
        <v>112481.89999999998</v>
      </c>
      <c r="K252" s="92">
        <f t="shared" si="7"/>
        <v>125580.89999999998</v>
      </c>
    </row>
    <row r="253" spans="1:12" s="43" customFormat="1" x14ac:dyDescent="0.2">
      <c r="J253" s="93"/>
      <c r="K253" s="93"/>
      <c r="L253" s="93"/>
    </row>
    <row r="254" spans="1:12" s="43" customFormat="1" ht="19.5" x14ac:dyDescent="0.35">
      <c r="A254" s="50" t="s">
        <v>6</v>
      </c>
      <c r="B254" s="51"/>
      <c r="C254" s="51"/>
      <c r="D254" s="51"/>
      <c r="E254" s="51"/>
      <c r="F254" s="52" t="s">
        <v>20</v>
      </c>
      <c r="G254" s="10" t="s">
        <v>21</v>
      </c>
      <c r="H254" s="10" t="s">
        <v>22</v>
      </c>
      <c r="I254" s="10" t="s">
        <v>1</v>
      </c>
      <c r="J254" s="10" t="s">
        <v>2</v>
      </c>
      <c r="K254" s="10" t="s">
        <v>0</v>
      </c>
      <c r="L254" s="93"/>
    </row>
    <row r="255" spans="1:12" s="43" customFormat="1" ht="18.75" x14ac:dyDescent="0.3">
      <c r="A255" s="6" t="s">
        <v>10</v>
      </c>
      <c r="B255" s="6"/>
      <c r="C255" s="6"/>
      <c r="D255" s="6"/>
      <c r="E255" s="6"/>
      <c r="F255" s="53">
        <f>K252</f>
        <v>125580.89999999998</v>
      </c>
      <c r="G255" s="53">
        <f>F262</f>
        <v>69954.899999999965</v>
      </c>
      <c r="H255" s="53">
        <f>G262</f>
        <v>88004.899999999965</v>
      </c>
      <c r="I255" s="53">
        <f>H262</f>
        <v>94971.899999999965</v>
      </c>
      <c r="J255" s="53">
        <f>I262</f>
        <v>35174.299999999959</v>
      </c>
      <c r="K255" s="53">
        <f>J262</f>
        <v>50174.299999999959</v>
      </c>
      <c r="L255" s="93"/>
    </row>
    <row r="256" spans="1:12" s="43" customFormat="1" ht="18.75" x14ac:dyDescent="0.3">
      <c r="A256" s="6" t="s">
        <v>171</v>
      </c>
      <c r="B256" s="6"/>
      <c r="C256" s="6"/>
      <c r="D256" s="6"/>
      <c r="E256" s="6"/>
      <c r="F256" s="53"/>
      <c r="G256" s="53"/>
      <c r="H256" s="53"/>
      <c r="I256" s="53"/>
      <c r="J256" s="53"/>
      <c r="K256" s="53"/>
      <c r="L256" s="93"/>
    </row>
    <row r="257" spans="1:12" s="43" customFormat="1" ht="18.75" x14ac:dyDescent="0.3">
      <c r="A257" s="6" t="s">
        <v>168</v>
      </c>
      <c r="B257" s="6"/>
      <c r="C257" s="6"/>
      <c r="D257" s="6"/>
      <c r="E257" s="6"/>
      <c r="F257" s="53">
        <f>15000</f>
        <v>15000</v>
      </c>
      <c r="G257" s="53">
        <f>11000</f>
        <v>11000</v>
      </c>
      <c r="H257" s="53">
        <v>10000</v>
      </c>
      <c r="I257" s="53">
        <f>9000</f>
        <v>9000</v>
      </c>
      <c r="J257" s="53">
        <v>9000</v>
      </c>
      <c r="K257" s="53">
        <f>20950</f>
        <v>20950</v>
      </c>
      <c r="L257" s="93"/>
    </row>
    <row r="258" spans="1:12" s="43" customFormat="1" ht="18.75" x14ac:dyDescent="0.3">
      <c r="A258" s="6" t="s">
        <v>224</v>
      </c>
      <c r="B258" s="6"/>
      <c r="C258" s="6"/>
      <c r="D258" s="6"/>
      <c r="E258" s="6"/>
      <c r="F258" s="53"/>
      <c r="G258" s="53"/>
      <c r="H258" s="53"/>
      <c r="I258" s="53"/>
      <c r="J258" s="53"/>
      <c r="K258" s="53"/>
      <c r="L258" s="93"/>
    </row>
    <row r="259" spans="1:12" s="43" customFormat="1" ht="18.75" x14ac:dyDescent="0.3">
      <c r="A259" s="6" t="s">
        <v>11</v>
      </c>
      <c r="B259" s="6"/>
      <c r="C259" s="6"/>
      <c r="D259" s="6"/>
      <c r="E259" s="6"/>
      <c r="F259" s="53">
        <v>700</v>
      </c>
      <c r="G259" s="53">
        <f>3300</f>
        <v>3300</v>
      </c>
      <c r="H259" s="53"/>
      <c r="I259" s="53"/>
      <c r="J259" s="53"/>
      <c r="K259" s="53"/>
      <c r="L259" s="93"/>
    </row>
    <row r="260" spans="1:12" s="43" customFormat="1" ht="18.75" x14ac:dyDescent="0.3">
      <c r="A260" s="6" t="s">
        <v>225</v>
      </c>
      <c r="B260" s="6"/>
      <c r="C260" s="6"/>
      <c r="D260" s="6"/>
      <c r="E260" s="6"/>
      <c r="F260" s="53">
        <f>9000</f>
        <v>9000</v>
      </c>
      <c r="G260" s="53">
        <f>3750</f>
        <v>3750</v>
      </c>
      <c r="H260" s="53">
        <f>6000</f>
        <v>6000</v>
      </c>
      <c r="I260" s="53">
        <f>12000</f>
        <v>12000</v>
      </c>
      <c r="J260" s="53">
        <v>6000</v>
      </c>
      <c r="K260" s="53">
        <v>12000</v>
      </c>
      <c r="L260" s="93"/>
    </row>
    <row r="261" spans="1:12" s="43" customFormat="1" ht="19.5" thickBot="1" x14ac:dyDescent="0.35">
      <c r="A261" s="6" t="s">
        <v>226</v>
      </c>
      <c r="B261" s="6"/>
      <c r="C261" s="6"/>
      <c r="D261" s="6"/>
      <c r="E261" s="6"/>
      <c r="F261" s="53">
        <f>80326</f>
        <v>80326</v>
      </c>
      <c r="G261" s="53"/>
      <c r="H261" s="53">
        <v>9033</v>
      </c>
      <c r="I261" s="53">
        <f>80797.6</f>
        <v>80797.600000000006</v>
      </c>
      <c r="J261" s="53"/>
      <c r="K261" s="53">
        <f>3825</f>
        <v>3825</v>
      </c>
      <c r="L261" s="93"/>
    </row>
    <row r="262" spans="1:12" s="43" customFormat="1" ht="19.5" thickBot="1" x14ac:dyDescent="0.35">
      <c r="A262" s="52" t="s">
        <v>7</v>
      </c>
      <c r="B262" s="64"/>
      <c r="C262" s="64"/>
      <c r="D262" s="6"/>
      <c r="E262" s="6"/>
      <c r="F262" s="92">
        <f t="shared" ref="F262:K262" si="8">SUM(F255:F260)-F261</f>
        <v>69954.899999999965</v>
      </c>
      <c r="G262" s="92">
        <f t="shared" si="8"/>
        <v>88004.899999999965</v>
      </c>
      <c r="H262" s="92">
        <f t="shared" si="8"/>
        <v>94971.899999999965</v>
      </c>
      <c r="I262" s="92">
        <f t="shared" si="8"/>
        <v>35174.299999999959</v>
      </c>
      <c r="J262" s="92">
        <f t="shared" si="8"/>
        <v>50174.299999999959</v>
      </c>
      <c r="K262" s="92">
        <f t="shared" si="8"/>
        <v>79299.299999999959</v>
      </c>
      <c r="L262" s="93"/>
    </row>
    <row r="263" spans="1:12" s="43" customFormat="1" x14ac:dyDescent="0.2">
      <c r="J263" s="93"/>
      <c r="K263" s="93"/>
      <c r="L263" s="93"/>
    </row>
    <row r="264" spans="1:12" s="43" customFormat="1" ht="19.5" x14ac:dyDescent="0.35">
      <c r="A264" s="35" t="s">
        <v>178</v>
      </c>
      <c r="J264" s="93"/>
      <c r="K264" s="33" t="s">
        <v>181</v>
      </c>
      <c r="L264" s="93"/>
    </row>
    <row r="265" spans="1:12" s="43" customFormat="1" ht="19.5" x14ac:dyDescent="0.35">
      <c r="A265" s="35"/>
      <c r="F265" s="94" t="s">
        <v>165</v>
      </c>
      <c r="G265" s="94" t="s">
        <v>183</v>
      </c>
      <c r="H265" s="95" t="s">
        <v>176</v>
      </c>
      <c r="I265" s="94" t="s">
        <v>188</v>
      </c>
      <c r="J265" s="96" t="s">
        <v>235</v>
      </c>
      <c r="K265" s="93"/>
      <c r="L265" s="93"/>
    </row>
    <row r="266" spans="1:12" s="43" customFormat="1" ht="21" thickBot="1" x14ac:dyDescent="0.45">
      <c r="A266" s="6" t="s">
        <v>171</v>
      </c>
      <c r="B266" s="6"/>
      <c r="C266" s="6"/>
      <c r="D266" s="6"/>
      <c r="E266" s="6"/>
      <c r="F266" s="97">
        <f>F246+G246+H246+I246+J246+K246+F256+G256+H256+I256+J256+K256</f>
        <v>0</v>
      </c>
      <c r="G266" s="98">
        <f>F266*100/H267</f>
        <v>0</v>
      </c>
      <c r="H266" s="99" t="s">
        <v>165</v>
      </c>
      <c r="I266" s="100" t="s">
        <v>166</v>
      </c>
      <c r="J266" s="93"/>
      <c r="K266" s="93"/>
      <c r="L266" s="93"/>
    </row>
    <row r="267" spans="1:12" s="43" customFormat="1" ht="19.5" thickBot="1" x14ac:dyDescent="0.35">
      <c r="A267" s="6" t="s">
        <v>168</v>
      </c>
      <c r="B267" s="6"/>
      <c r="C267" s="6"/>
      <c r="D267" s="6"/>
      <c r="E267" s="6"/>
      <c r="F267" s="97">
        <f>F247+G247+H247+I247+J247+K247+F257+G257+H257+I257+J257+K257</f>
        <v>190600</v>
      </c>
      <c r="G267" s="98">
        <f>F267*100/H267</f>
        <v>61.274746188813658</v>
      </c>
      <c r="H267" s="101">
        <f>F266+F267+F268+F269+F270</f>
        <v>311058</v>
      </c>
      <c r="I267" s="102">
        <f>H267/K390</f>
        <v>7069.5</v>
      </c>
      <c r="J267" s="93"/>
      <c r="K267" s="103">
        <f>H267-K251-K261</f>
        <v>302974</v>
      </c>
      <c r="L267" s="93"/>
    </row>
    <row r="268" spans="1:12" s="43" customFormat="1" ht="18.75" x14ac:dyDescent="0.3">
      <c r="A268" s="6" t="s">
        <v>224</v>
      </c>
      <c r="B268" s="6"/>
      <c r="C268" s="6"/>
      <c r="D268" s="6"/>
      <c r="E268" s="6"/>
      <c r="F268" s="97">
        <f>F248+G248+H248+I248+J248+K248+F258+G258+H258+I258+J258+K258</f>
        <v>0</v>
      </c>
      <c r="G268" s="98">
        <f>F268*100/H267</f>
        <v>0</v>
      </c>
      <c r="J268" s="93"/>
      <c r="K268" s="93"/>
      <c r="L268" s="93"/>
    </row>
    <row r="269" spans="1:12" s="43" customFormat="1" ht="18.75" x14ac:dyDescent="0.3">
      <c r="A269" s="6" t="s">
        <v>227</v>
      </c>
      <c r="B269" s="6"/>
      <c r="C269" s="6"/>
      <c r="D269" s="6"/>
      <c r="E269" s="6"/>
      <c r="F269" s="97">
        <f>F250+G250+H250+I250+J250+K250+F260+G260+H260+I260+J260+K260</f>
        <v>111750</v>
      </c>
      <c r="G269" s="98">
        <f>F269*100/H267</f>
        <v>35.925775900314413</v>
      </c>
      <c r="H269" s="104" t="s">
        <v>177</v>
      </c>
      <c r="J269" s="93"/>
      <c r="K269" s="93"/>
      <c r="L269" s="93"/>
    </row>
    <row r="270" spans="1:12" s="43" customFormat="1" ht="18.75" x14ac:dyDescent="0.3">
      <c r="A270" s="6" t="s">
        <v>11</v>
      </c>
      <c r="B270" s="6"/>
      <c r="C270" s="6"/>
      <c r="D270" s="6"/>
      <c r="E270" s="6"/>
      <c r="F270" s="97">
        <f>F249+G249+H249+I249+J249+K249+F259+G259+H259+I259+J259+K259</f>
        <v>8708</v>
      </c>
      <c r="G270" s="98">
        <f>F270*100/H267</f>
        <v>2.7994779108719272</v>
      </c>
      <c r="H270" s="97">
        <f>G266+G267+G268+G269+G270</f>
        <v>100</v>
      </c>
      <c r="J270" s="93"/>
      <c r="K270" s="93"/>
      <c r="L270" s="93"/>
    </row>
    <row r="271" spans="1:12" s="43" customFormat="1" x14ac:dyDescent="0.2">
      <c r="J271" s="93"/>
      <c r="K271" s="93"/>
      <c r="L271" s="93"/>
    </row>
    <row r="272" spans="1:12" s="43" customFormat="1" ht="20.25" x14ac:dyDescent="0.3">
      <c r="A272" s="44" t="s">
        <v>124</v>
      </c>
      <c r="I272" s="93"/>
      <c r="K272" s="93"/>
      <c r="L272" s="93"/>
    </row>
    <row r="273" spans="1:12" s="43" customFormat="1" x14ac:dyDescent="0.2">
      <c r="J273" s="93"/>
      <c r="K273" s="93"/>
      <c r="L273" s="93"/>
    </row>
    <row r="274" spans="1:12" s="43" customFormat="1" ht="20.25" x14ac:dyDescent="0.3">
      <c r="A274" s="44" t="s">
        <v>80</v>
      </c>
      <c r="I274" s="105"/>
      <c r="J274" s="93"/>
      <c r="K274" s="93"/>
      <c r="L274" s="93"/>
    </row>
    <row r="275" spans="1:12" s="43" customFormat="1" ht="20.25" thickBot="1" x14ac:dyDescent="0.4">
      <c r="A275" s="95" t="s">
        <v>81</v>
      </c>
      <c r="F275" s="95" t="s">
        <v>139</v>
      </c>
      <c r="G275" s="94" t="s">
        <v>153</v>
      </c>
      <c r="H275" s="94"/>
      <c r="J275" s="95" t="s">
        <v>122</v>
      </c>
      <c r="K275" s="93"/>
      <c r="L275" s="93"/>
    </row>
    <row r="276" spans="1:12" s="43" customFormat="1" ht="19.5" thickBot="1" x14ac:dyDescent="0.35">
      <c r="A276" s="69" t="s">
        <v>218</v>
      </c>
      <c r="B276" s="69"/>
      <c r="C276" s="69"/>
      <c r="D276" s="69"/>
      <c r="F276" s="40">
        <f>F7+G7+H7+I7+J7+K7+F8+G8+H8+I8+J8+K8+F9+G9+H9+I9+J9+K9+F92+G92+H92+I92+J92+K92+F93+G93+H93+I93+J93+K93+F94+G94+H94+I94+J94+K94</f>
        <v>862523</v>
      </c>
      <c r="G276" s="75">
        <f>F276*100/J276</f>
        <v>3.4132115029004835</v>
      </c>
      <c r="H276" s="40"/>
      <c r="J276" s="127">
        <f>F89+G89+H89+I89+J89+K89+F164+G164+H164+I164+J164+K164+F251+G251+H251+I251+J251+K251+F261+G261+H261+I261+J261+K261</f>
        <v>25270130.469999999</v>
      </c>
      <c r="K276" s="93"/>
      <c r="L276" s="93"/>
    </row>
    <row r="277" spans="1:12" s="43" customFormat="1" ht="19.5" x14ac:dyDescent="0.35">
      <c r="A277" s="69" t="s">
        <v>229</v>
      </c>
      <c r="F277" s="40">
        <f>F25+G25+H25+I25+J25+K25+F26+G26+H26+I26+J26+K26+F27+G27+H27+I27+J27+K27+F108+G108+H108+I108+J108+K108+F109+G109+H109+I109+J109+K109+F110+G110+H110+I110+J110+K110</f>
        <v>709136</v>
      </c>
      <c r="G277" s="75">
        <f>F277*100/J276</f>
        <v>2.806222155607256</v>
      </c>
      <c r="H277" s="40"/>
      <c r="J277" s="95"/>
      <c r="K277" s="93"/>
      <c r="L277" s="93"/>
    </row>
    <row r="278" spans="1:12" s="43" customFormat="1" ht="19.5" x14ac:dyDescent="0.35">
      <c r="A278" s="69" t="s">
        <v>186</v>
      </c>
      <c r="B278" s="69"/>
      <c r="C278" s="69"/>
      <c r="D278" s="69"/>
      <c r="F278" s="40">
        <f>F10+G10+H10+I10+J10+K10+F11+G11+H11+I11+J11+K11+F12+G12+H12+I12+J12+K12+F13+G13+H13+I13+J13+K13+F95+G95+H95+I95+J95+K95+F96+G96+H96+I96+J96+K96+F97+G97+H97+I97+J97+K97+F98+G98+H98+I98+J98+K98</f>
        <v>678996</v>
      </c>
      <c r="G278" s="75">
        <f>F278*100/J276</f>
        <v>2.6869509075391806</v>
      </c>
      <c r="H278" s="40"/>
      <c r="J278" s="95"/>
      <c r="K278" s="133"/>
      <c r="L278" s="93"/>
    </row>
    <row r="279" spans="1:12" s="43" customFormat="1" ht="18.75" x14ac:dyDescent="0.3">
      <c r="A279" s="69" t="s">
        <v>213</v>
      </c>
      <c r="B279" s="69"/>
      <c r="C279" s="69"/>
      <c r="D279" s="69"/>
      <c r="F279" s="40">
        <f>F14+G14+H14+I14+J14+K14+F15+G15+H15+I15+J15+K15+F16+G16+H16+I16+J16+K16+F99+G99+H99+I99+J99+K99+F100+G100+H100+I100+J100+K100+F101+G101+H101+I101+J101+K101</f>
        <v>529231</v>
      </c>
      <c r="G279" s="75">
        <f>F279*100/J276</f>
        <v>2.0942946876680688</v>
      </c>
      <c r="H279" s="40"/>
      <c r="J279" s="135"/>
      <c r="K279" s="93"/>
    </row>
    <row r="280" spans="1:12" s="43" customFormat="1" ht="18.75" x14ac:dyDescent="0.3">
      <c r="A280" s="69" t="s">
        <v>273</v>
      </c>
      <c r="B280" s="69"/>
      <c r="C280" s="69"/>
      <c r="D280" s="69"/>
      <c r="F280" s="40">
        <f>F17+G17+H17+I17+J17+K17+F18+G18+H18+I18+J18+K18+F19+G19+H19+I19+J19+K19+F102+G102+H102+I102+J102+K102+F103+G103+H103+I103+J103+K103+F104+G104+H104+I104+J104+K104</f>
        <v>509045</v>
      </c>
      <c r="G280" s="75">
        <f>F280*100/J276</f>
        <v>2.0144138179433786</v>
      </c>
      <c r="H280" s="40"/>
      <c r="L280" s="93"/>
    </row>
    <row r="281" spans="1:12" s="43" customFormat="1" ht="18.75" x14ac:dyDescent="0.3">
      <c r="A281" s="69" t="s">
        <v>230</v>
      </c>
      <c r="B281" s="58"/>
      <c r="C281" s="58"/>
      <c r="D281" s="58"/>
      <c r="E281" s="58"/>
      <c r="F281" s="40">
        <f>F20+G20+H20+I20+J20+K20+F21+G21+H21+I21+J21+K21+F22+G22+H22+I22+J22+K22+F105+G105+H105+I105+J105+K105+F106+G106+H106+I106+J106+K106+F107+G107+H107+I107+J107+K107</f>
        <v>456346</v>
      </c>
      <c r="G281" s="75">
        <f>F281*100/J276</f>
        <v>1.8058711669168521</v>
      </c>
      <c r="H281" s="40"/>
      <c r="L281" s="93"/>
    </row>
    <row r="282" spans="1:12" s="43" customFormat="1" ht="18.75" x14ac:dyDescent="0.3">
      <c r="A282" s="69" t="s">
        <v>293</v>
      </c>
      <c r="B282" s="69"/>
      <c r="C282" s="69"/>
      <c r="D282" s="69"/>
      <c r="F282" s="40">
        <f>F23+G23+H23+I23+J23+K23+F24+G24+H24+I24+J24+K24+F111+G111+H111+I111+J111+K111+F112+G112+H112+I112+J112+K112+F113+G113+H113+I113+J113+K113</f>
        <v>549371</v>
      </c>
      <c r="G282" s="75">
        <f>F282*100/J276</f>
        <v>2.1739935243001538</v>
      </c>
      <c r="H282" s="40"/>
      <c r="L282" s="93"/>
    </row>
    <row r="283" spans="1:12" s="43" customFormat="1" ht="18.75" x14ac:dyDescent="0.3">
      <c r="A283" s="62" t="s">
        <v>252</v>
      </c>
      <c r="B283" s="62"/>
      <c r="C283" s="62"/>
      <c r="D283" s="62"/>
      <c r="E283" s="62"/>
      <c r="F283" s="40">
        <f>F40+G40+H40+I40+J40+K40+F41+G41+H41+I41+J41+K41+F42+G42+H42+I42+J42+K42+F123+G123+H123+I123+J123+K123+F124+G124+H124+I124+J124+K124+F125+G125+H125+I125+J125+K125</f>
        <v>453862</v>
      </c>
      <c r="G283" s="75">
        <f>F283*100/J276</f>
        <v>1.7960413799161521</v>
      </c>
      <c r="H283" s="40"/>
      <c r="L283" s="93"/>
    </row>
    <row r="284" spans="1:12" s="43" customFormat="1" ht="18.75" x14ac:dyDescent="0.3">
      <c r="A284" s="69" t="s">
        <v>73</v>
      </c>
      <c r="B284" s="69"/>
      <c r="C284" s="69"/>
      <c r="D284" s="69"/>
      <c r="F284" s="40">
        <f>F28+G28+H28+I28+J28+K28+F29+G29+H29+I29+J29+K29+F30+G30+H30+I30+J30+K30+F114+G114+H114+I114+J114+K114+F115+G115+H115+I115+J115+K115+F116+G116+H116+I116+J116+K116</f>
        <v>557857</v>
      </c>
      <c r="G284" s="75">
        <f>F284*100/J276</f>
        <v>2.2075746726447352</v>
      </c>
      <c r="H284" s="40"/>
      <c r="L284" s="93"/>
    </row>
    <row r="285" spans="1:12" s="43" customFormat="1" ht="18.75" x14ac:dyDescent="0.3">
      <c r="A285" s="69" t="s">
        <v>221</v>
      </c>
      <c r="B285" s="69"/>
      <c r="C285" s="69"/>
      <c r="D285" s="69"/>
      <c r="F285" s="40">
        <f>F31+G31+H31+I31+J31+K31+F32+G32+H32+I32+J32+K32+F33+G33+H33+I33+J33+K33+F117+G117+H117+I117+J117+K117+F118+G118+H118+I118+J118+K118+F119+G119+H119+I119+J119+K119</f>
        <v>558142</v>
      </c>
      <c r="G285" s="75">
        <f>F285*100/J276</f>
        <v>2.2087024863706612</v>
      </c>
      <c r="H285" s="40"/>
    </row>
    <row r="286" spans="1:12" s="43" customFormat="1" ht="19.5" thickBot="1" x14ac:dyDescent="0.35">
      <c r="A286" s="69" t="s">
        <v>195</v>
      </c>
      <c r="B286" s="110"/>
      <c r="C286" s="110"/>
      <c r="D286" s="110"/>
      <c r="E286" s="110"/>
      <c r="F286" s="40">
        <f>F34+G34+H34+I34+J34+K34+F35+G35+H35+I35+J35+K35+F36+G36+H36+I36+J36+K36+F120+G120+H120+I120+J120+K120+F121+G121+H121+I121+J121+K121+F122+G122+H122+I122+J122+K122</f>
        <v>510365</v>
      </c>
      <c r="G286" s="75">
        <f>F286*100/J276</f>
        <v>2.0196373762529292</v>
      </c>
      <c r="H286" s="40"/>
      <c r="L286" s="93"/>
    </row>
    <row r="287" spans="1:12" s="43" customFormat="1" ht="20.25" thickBot="1" x14ac:dyDescent="0.4">
      <c r="A287" s="112" t="s">
        <v>75</v>
      </c>
      <c r="B287" s="112"/>
      <c r="C287" s="69"/>
      <c r="D287" s="69"/>
      <c r="F287" s="39">
        <f>SUM(F276:F286)</f>
        <v>6374874</v>
      </c>
      <c r="G287" s="113">
        <f>SUM(G276:G286)</f>
        <v>25.226913678059852</v>
      </c>
      <c r="L287" s="93"/>
    </row>
    <row r="288" spans="1:12" s="43" customFormat="1" x14ac:dyDescent="0.2">
      <c r="L288" s="93"/>
    </row>
    <row r="289" spans="1:12" s="43" customFormat="1" ht="19.5" x14ac:dyDescent="0.35">
      <c r="A289" s="95" t="s">
        <v>84</v>
      </c>
      <c r="F289" s="40"/>
      <c r="G289" s="75"/>
      <c r="H289" s="75"/>
      <c r="J289" s="93"/>
      <c r="K289" s="93"/>
      <c r="L289" s="93"/>
    </row>
    <row r="290" spans="1:12" s="43" customFormat="1" ht="18.75" x14ac:dyDescent="0.3">
      <c r="A290" s="62" t="s">
        <v>290</v>
      </c>
      <c r="B290" s="110"/>
      <c r="C290" s="110"/>
      <c r="D290" s="110"/>
      <c r="E290" s="110"/>
      <c r="F290" s="40">
        <f>F45+G45+H45+I45+J45+K45+F46+G46+H46+I46+J46+K46</f>
        <v>67109</v>
      </c>
      <c r="G290" s="75">
        <f>F290*100/J276</f>
        <v>0.26556649590578868</v>
      </c>
      <c r="H290" s="40"/>
      <c r="J290" s="93"/>
      <c r="K290" s="93"/>
      <c r="L290" s="93"/>
    </row>
    <row r="291" spans="1:12" s="43" customFormat="1" ht="18.75" x14ac:dyDescent="0.3">
      <c r="A291" s="69" t="s">
        <v>192</v>
      </c>
      <c r="B291" s="110"/>
      <c r="C291" s="110"/>
      <c r="D291" s="110"/>
      <c r="E291" s="110"/>
      <c r="F291" s="40">
        <f>F47+G47+H47+I47+J47+K47+F48+G48+H48+I48+J48+K48</f>
        <v>118187</v>
      </c>
      <c r="G291" s="75">
        <f>F291*100/J276</f>
        <v>0.46769445903854096</v>
      </c>
      <c r="H291" s="40"/>
      <c r="J291" s="93"/>
      <c r="K291" s="93"/>
      <c r="L291" s="93"/>
    </row>
    <row r="292" spans="1:12" s="43" customFormat="1" ht="18.75" x14ac:dyDescent="0.3">
      <c r="A292" s="62" t="s">
        <v>291</v>
      </c>
      <c r="B292" s="62"/>
      <c r="C292" s="62"/>
      <c r="D292" s="62"/>
      <c r="E292" s="62"/>
      <c r="F292" s="40">
        <f>F126+G126+H126+I126+J126+K126</f>
        <v>49875</v>
      </c>
      <c r="G292" s="75">
        <f>F292*100/J276</f>
        <v>0.19736740203700262</v>
      </c>
      <c r="H292" s="40"/>
      <c r="J292" s="93"/>
      <c r="K292" s="93"/>
      <c r="L292" s="93"/>
    </row>
    <row r="293" spans="1:12" s="43" customFormat="1" ht="19.5" thickBot="1" x14ac:dyDescent="0.35">
      <c r="A293" s="69" t="s">
        <v>292</v>
      </c>
      <c r="B293" s="110"/>
      <c r="C293" s="110"/>
      <c r="D293" s="110"/>
      <c r="E293" s="110"/>
      <c r="F293" s="40">
        <f>F37+G37+H37+I37+J37+K37+F38+G38+H38+I38+J38+K38+F39+G39+H39+I39+J39+K39</f>
        <v>120144</v>
      </c>
      <c r="G293" s="75">
        <f>F293*100/J276</f>
        <v>0.47543877995656431</v>
      </c>
      <c r="H293" s="40"/>
      <c r="J293" s="93"/>
      <c r="K293" s="93"/>
      <c r="L293" s="93"/>
    </row>
    <row r="294" spans="1:12" s="43" customFormat="1" ht="20.25" thickBot="1" x14ac:dyDescent="0.4">
      <c r="A294" s="112" t="s">
        <v>86</v>
      </c>
      <c r="B294" s="112"/>
      <c r="C294" s="69"/>
      <c r="D294" s="69"/>
      <c r="F294" s="39">
        <f>SUM(F290:F293)</f>
        <v>355315</v>
      </c>
      <c r="G294" s="39">
        <f>SUM(G290:G293)</f>
        <v>1.4060671369378965</v>
      </c>
      <c r="J294" s="93"/>
      <c r="K294" s="93"/>
      <c r="L294" s="93"/>
    </row>
    <row r="295" spans="1:12" s="43" customFormat="1" ht="19.5" x14ac:dyDescent="0.35">
      <c r="A295" s="112"/>
      <c r="B295" s="112"/>
      <c r="C295" s="69"/>
      <c r="D295" s="69"/>
      <c r="F295" s="111"/>
      <c r="G295" s="111">
        <f>+F294*100/J276</f>
        <v>1.4060671369378965</v>
      </c>
      <c r="H295" s="111"/>
      <c r="J295" s="93"/>
      <c r="K295" s="93"/>
      <c r="L295" s="93"/>
    </row>
    <row r="296" spans="1:12" s="43" customFormat="1" ht="19.5" x14ac:dyDescent="0.35">
      <c r="A296" s="95" t="s">
        <v>85</v>
      </c>
      <c r="B296" s="95"/>
      <c r="C296" s="114"/>
      <c r="D296" s="114"/>
      <c r="E296" s="115"/>
      <c r="F296" s="40"/>
      <c r="G296" s="75"/>
      <c r="H296" s="75"/>
      <c r="J296" s="93"/>
      <c r="K296" s="93"/>
      <c r="L296" s="93"/>
    </row>
    <row r="297" spans="1:12" s="43" customFormat="1" ht="18.75" x14ac:dyDescent="0.3">
      <c r="A297" s="69" t="s">
        <v>76</v>
      </c>
      <c r="B297" s="69"/>
      <c r="C297" s="69"/>
      <c r="D297" s="69"/>
      <c r="F297" s="40">
        <f>F51+G51+H51+I51+J51+K51+F128+G128+H128+I128+J128+K128</f>
        <v>2976766</v>
      </c>
      <c r="G297" s="75">
        <f>F297*100/J276</f>
        <v>11.779780890066771</v>
      </c>
      <c r="H297" s="40"/>
      <c r="J297" s="93"/>
      <c r="K297" s="93"/>
      <c r="L297" s="93"/>
    </row>
    <row r="298" spans="1:12" s="43" customFormat="1" ht="18.75" x14ac:dyDescent="0.3">
      <c r="A298" s="69" t="s">
        <v>77</v>
      </c>
      <c r="B298" s="69"/>
      <c r="C298" s="69"/>
      <c r="D298" s="69"/>
      <c r="F298" s="40">
        <f>F52+G52+H52+I52+J52+K52+F129+G129+H129+I129+J129+K129</f>
        <v>183721</v>
      </c>
      <c r="G298" s="75">
        <f>F298*100/J276</f>
        <v>0.72702830014316111</v>
      </c>
      <c r="H298" s="40"/>
      <c r="J298" s="93"/>
      <c r="K298" s="93"/>
      <c r="L298" s="93"/>
    </row>
    <row r="299" spans="1:12" s="43" customFormat="1" ht="18.75" x14ac:dyDescent="0.3">
      <c r="A299" s="69" t="s">
        <v>78</v>
      </c>
      <c r="B299" s="69"/>
      <c r="C299" s="69"/>
      <c r="D299" s="69"/>
      <c r="F299" s="40">
        <f>F49+G49+H49+I49+J49+K49+F127+G127+H127+I127+J127+K127</f>
        <v>717764</v>
      </c>
      <c r="G299" s="75">
        <f>F299*100/J276</f>
        <v>2.8403652321942285</v>
      </c>
      <c r="H299" s="40"/>
      <c r="J299" s="93"/>
      <c r="K299" s="93"/>
      <c r="L299" s="93"/>
    </row>
    <row r="300" spans="1:12" s="43" customFormat="1" ht="18.75" x14ac:dyDescent="0.3">
      <c r="A300" s="69" t="s">
        <v>79</v>
      </c>
      <c r="B300" s="69"/>
      <c r="C300" s="69"/>
      <c r="D300" s="69"/>
      <c r="F300" s="40">
        <f>F53+G53+H53+I53+J53+K53+F133+G133+H133+I133+J133+K133</f>
        <v>38984</v>
      </c>
      <c r="G300" s="75">
        <f>F300*100/J276</f>
        <v>0.15426908874206538</v>
      </c>
      <c r="H300" s="40"/>
      <c r="J300" s="93"/>
      <c r="K300" s="93"/>
      <c r="L300" s="93"/>
    </row>
    <row r="301" spans="1:12" s="43" customFormat="1" ht="19.5" thickBot="1" x14ac:dyDescent="0.35">
      <c r="A301" s="69" t="s">
        <v>82</v>
      </c>
      <c r="B301" s="69"/>
      <c r="C301" s="69"/>
      <c r="D301" s="69"/>
      <c r="F301" s="40">
        <f>F54+G54+H54+I54+J54+K54</f>
        <v>16500</v>
      </c>
      <c r="G301" s="75">
        <f>F301*100/J276</f>
        <v>6.5294478869384331E-2</v>
      </c>
      <c r="H301" s="75"/>
      <c r="J301" s="93"/>
      <c r="K301" s="93"/>
      <c r="L301" s="93"/>
    </row>
    <row r="302" spans="1:12" s="43" customFormat="1" ht="20.25" thickBot="1" x14ac:dyDescent="0.4">
      <c r="A302" s="116" t="s">
        <v>87</v>
      </c>
      <c r="B302" s="112"/>
      <c r="C302" s="112"/>
      <c r="D302" s="112"/>
      <c r="E302" s="117"/>
      <c r="F302" s="39">
        <f>SUM(F297:F301)</f>
        <v>3933735</v>
      </c>
      <c r="G302" s="113">
        <f>SUM(G297:G301)</f>
        <v>15.566737990015611</v>
      </c>
      <c r="J302" s="93"/>
      <c r="K302" s="93"/>
      <c r="L302" s="93"/>
    </row>
    <row r="303" spans="1:12" s="43" customFormat="1" ht="20.25" thickBot="1" x14ac:dyDescent="0.4">
      <c r="A303" s="112" t="s">
        <v>83</v>
      </c>
      <c r="B303" s="69"/>
      <c r="C303" s="69"/>
      <c r="D303" s="69"/>
      <c r="F303" s="39">
        <f>F287+F294+F302</f>
        <v>10663924</v>
      </c>
      <c r="G303" s="113">
        <f>G287+G294+G302</f>
        <v>42.199718805013362</v>
      </c>
      <c r="J303" s="93"/>
      <c r="K303" s="93"/>
      <c r="L303" s="93"/>
    </row>
    <row r="304" spans="1:12" s="43" customFormat="1" ht="19.5" x14ac:dyDescent="0.35">
      <c r="A304" s="112"/>
      <c r="B304" s="69"/>
      <c r="C304" s="69"/>
      <c r="D304" s="69"/>
      <c r="F304" s="111"/>
      <c r="G304" s="40">
        <f>+F303*100/J276</f>
        <v>42.199718805013362</v>
      </c>
      <c r="H304" s="75"/>
      <c r="J304" s="93"/>
      <c r="K304" s="93"/>
      <c r="L304" s="93"/>
    </row>
    <row r="305" spans="1:12" s="43" customFormat="1" ht="20.25" x14ac:dyDescent="0.3">
      <c r="A305" s="44" t="s">
        <v>88</v>
      </c>
      <c r="H305" s="75"/>
      <c r="J305" s="93"/>
      <c r="K305" s="93"/>
      <c r="L305" s="93"/>
    </row>
    <row r="306" spans="1:12" s="43" customFormat="1" ht="18.75" x14ac:dyDescent="0.3">
      <c r="A306" s="69" t="s">
        <v>89</v>
      </c>
      <c r="B306" s="118"/>
      <c r="C306" s="118"/>
      <c r="D306" s="118"/>
      <c r="F306" s="40">
        <f>F63+G63+H63+I63+J63+K63+F140+G140+H140+I140+J140+K140</f>
        <v>4924944</v>
      </c>
      <c r="G306" s="75">
        <f>F306*100/J276</f>
        <v>19.489191026721279</v>
      </c>
      <c r="H306" s="40"/>
      <c r="J306" s="93"/>
      <c r="K306" s="93"/>
      <c r="L306" s="93"/>
    </row>
    <row r="307" spans="1:12" s="43" customFormat="1" ht="19.5" thickBot="1" x14ac:dyDescent="0.35">
      <c r="A307" s="69" t="s">
        <v>90</v>
      </c>
      <c r="B307" s="118"/>
      <c r="C307" s="118"/>
      <c r="D307" s="118"/>
      <c r="F307" s="40">
        <f>F64+G64+H64+I64+J64+K64+F141+G141+H141+I141+J141+K141</f>
        <v>1083489</v>
      </c>
      <c r="G307" s="75">
        <f>F307*100/J276</f>
        <v>4.2876272494369916</v>
      </c>
      <c r="H307" s="40"/>
      <c r="J307" s="93"/>
      <c r="K307" s="93"/>
      <c r="L307" s="93"/>
    </row>
    <row r="308" spans="1:12" s="43" customFormat="1" ht="20.25" thickBot="1" x14ac:dyDescent="0.4">
      <c r="A308" s="112" t="s">
        <v>117</v>
      </c>
      <c r="B308" s="119"/>
      <c r="C308" s="119"/>
      <c r="D308" s="119"/>
      <c r="E308" s="120"/>
      <c r="F308" s="113">
        <f>F306+F307</f>
        <v>6008433</v>
      </c>
      <c r="G308" s="113">
        <f>G306+G307</f>
        <v>23.77681827615827</v>
      </c>
      <c r="J308" s="93"/>
      <c r="K308" s="93"/>
      <c r="L308" s="93"/>
    </row>
    <row r="309" spans="1:12" s="43" customFormat="1" ht="18.75" x14ac:dyDescent="0.3">
      <c r="A309" s="69"/>
      <c r="B309" s="118"/>
      <c r="C309" s="118"/>
      <c r="D309" s="118"/>
      <c r="H309" s="75"/>
      <c r="J309" s="93"/>
      <c r="K309" s="93"/>
      <c r="L309" s="93"/>
    </row>
    <row r="310" spans="1:12" s="43" customFormat="1" ht="20.25" x14ac:dyDescent="0.3">
      <c r="A310" s="44" t="s">
        <v>91</v>
      </c>
      <c r="B310" s="118"/>
      <c r="C310" s="118"/>
      <c r="D310" s="118"/>
      <c r="H310" s="75"/>
      <c r="J310" s="93"/>
      <c r="K310" s="93"/>
      <c r="L310" s="93"/>
    </row>
    <row r="311" spans="1:12" s="43" customFormat="1" ht="19.5" x14ac:dyDescent="0.35">
      <c r="A311" s="95" t="s">
        <v>97</v>
      </c>
      <c r="B311" s="118"/>
      <c r="C311" s="118"/>
      <c r="D311" s="118"/>
      <c r="H311" s="75"/>
      <c r="J311" s="93"/>
      <c r="K311" s="93"/>
      <c r="L311" s="93"/>
    </row>
    <row r="312" spans="1:12" s="43" customFormat="1" ht="18.75" x14ac:dyDescent="0.3">
      <c r="A312" s="69" t="s">
        <v>92</v>
      </c>
      <c r="B312" s="118"/>
      <c r="C312" s="118"/>
      <c r="D312" s="118"/>
      <c r="F312" s="40">
        <f>F55+G55+H55+I55+J55+K55+F130+G130+H130+I130+J130+K130</f>
        <v>877909</v>
      </c>
      <c r="G312" s="75">
        <f>F312*100/J276</f>
        <v>3.4740976151358987</v>
      </c>
      <c r="H312" s="40"/>
      <c r="J312" s="93"/>
      <c r="K312" s="93"/>
      <c r="L312" s="93"/>
    </row>
    <row r="313" spans="1:12" s="43" customFormat="1" ht="18.75" x14ac:dyDescent="0.3">
      <c r="A313" s="69" t="s">
        <v>93</v>
      </c>
      <c r="B313" s="118"/>
      <c r="C313" s="118"/>
      <c r="D313" s="118"/>
      <c r="F313" s="40">
        <f>F57+G57+H57+I57+J57+K57+F132+G132+H132+I132+J132+K132</f>
        <v>2922467.89</v>
      </c>
      <c r="G313" s="75">
        <f>F313*100/J276</f>
        <v>11.564910175155104</v>
      </c>
      <c r="H313" s="40"/>
      <c r="J313" s="93"/>
      <c r="K313" s="93"/>
      <c r="L313" s="93"/>
    </row>
    <row r="314" spans="1:12" s="43" customFormat="1" ht="19.5" thickBot="1" x14ac:dyDescent="0.35">
      <c r="A314" s="69" t="s">
        <v>94</v>
      </c>
      <c r="B314" s="118"/>
      <c r="C314" s="118"/>
      <c r="D314" s="118"/>
      <c r="F314" s="40">
        <f>F56+G56+H56+I56+J56+K56+F131+G131+H131+I131+J131+K131</f>
        <v>198816.68</v>
      </c>
      <c r="G314" s="75">
        <f>F314*100/J276</f>
        <v>0.78676554612976646</v>
      </c>
      <c r="H314" s="40"/>
      <c r="J314" s="93"/>
      <c r="K314" s="93"/>
      <c r="L314" s="93"/>
    </row>
    <row r="315" spans="1:12" s="43" customFormat="1" ht="20.25" thickBot="1" x14ac:dyDescent="0.4">
      <c r="A315" s="112" t="s">
        <v>96</v>
      </c>
      <c r="B315" s="69"/>
      <c r="C315" s="69"/>
      <c r="D315" s="69"/>
      <c r="F315" s="39">
        <f>F312+F313+F314</f>
        <v>3999193.5700000003</v>
      </c>
      <c r="G315" s="113">
        <f>G312+G313+G314</f>
        <v>15.825773336420768</v>
      </c>
      <c r="J315" s="93"/>
      <c r="K315" s="93"/>
      <c r="L315" s="93"/>
    </row>
    <row r="316" spans="1:12" s="43" customFormat="1" ht="19.5" x14ac:dyDescent="0.35">
      <c r="A316" s="95" t="s">
        <v>148</v>
      </c>
      <c r="B316" s="114"/>
      <c r="C316" s="114"/>
      <c r="D316" s="114"/>
      <c r="E316" s="115"/>
      <c r="F316" s="111"/>
      <c r="H316" s="75"/>
      <c r="J316" s="93"/>
      <c r="K316" s="93"/>
      <c r="L316" s="93"/>
    </row>
    <row r="317" spans="1:12" s="43" customFormat="1" ht="18.75" x14ac:dyDescent="0.3">
      <c r="A317" s="69" t="s">
        <v>98</v>
      </c>
      <c r="B317" s="69"/>
      <c r="C317" s="69"/>
      <c r="D317" s="69"/>
      <c r="F317" s="121">
        <f>F50+G50+H50+I50+J50+K50+F134+G134+H134+I134+J134+K134</f>
        <v>237812</v>
      </c>
      <c r="G317" s="75">
        <f>F317*100/J276</f>
        <v>0.9410794308415773</v>
      </c>
      <c r="H317" s="40"/>
      <c r="J317" s="93"/>
      <c r="K317" s="93"/>
      <c r="L317" s="93"/>
    </row>
    <row r="318" spans="1:12" s="43" customFormat="1" ht="18.75" x14ac:dyDescent="0.3">
      <c r="A318" s="69" t="s">
        <v>101</v>
      </c>
      <c r="B318" s="69"/>
      <c r="C318" s="69"/>
      <c r="D318" s="69"/>
      <c r="F318" s="121">
        <f>F62+G62+H62+I62+J62+K62+F139+G139+H139+I139+J139+K139</f>
        <v>2400</v>
      </c>
      <c r="G318" s="75">
        <f>F318*100/J276</f>
        <v>9.4973787446377203E-3</v>
      </c>
      <c r="H318" s="40"/>
      <c r="J318" s="93"/>
      <c r="K318" s="93"/>
      <c r="L318" s="93"/>
    </row>
    <row r="319" spans="1:12" s="43" customFormat="1" ht="18.75" x14ac:dyDescent="0.3">
      <c r="A319" s="69" t="s">
        <v>102</v>
      </c>
      <c r="B319" s="69"/>
      <c r="C319" s="69"/>
      <c r="D319" s="69"/>
      <c r="F319" s="121">
        <f>F65+G65+H65+I65+J65+K65+F143+G143+H143+I143+J143+K143</f>
        <v>257816</v>
      </c>
      <c r="G319" s="75">
        <f>F319*100/J276</f>
        <v>1.0202400826781328</v>
      </c>
      <c r="H319" s="40"/>
      <c r="J319" s="93"/>
      <c r="K319" s="93"/>
      <c r="L319" s="93"/>
    </row>
    <row r="320" spans="1:12" s="43" customFormat="1" ht="18.75" x14ac:dyDescent="0.3">
      <c r="A320" s="69" t="s">
        <v>31</v>
      </c>
      <c r="B320" s="69"/>
      <c r="C320" s="69"/>
      <c r="D320" s="69"/>
      <c r="E320" s="110"/>
      <c r="F320" s="121">
        <f>F58+G58+H58+I58+J58+K58+F135+G135+H135+I135+J135+K135</f>
        <v>4913</v>
      </c>
      <c r="G320" s="75">
        <f>F320*100/J276</f>
        <v>1.9441925738502133E-2</v>
      </c>
      <c r="H320" s="40"/>
      <c r="J320" s="93"/>
      <c r="K320" s="93"/>
      <c r="L320" s="93"/>
    </row>
    <row r="321" spans="1:12" s="43" customFormat="1" ht="18.75" x14ac:dyDescent="0.3">
      <c r="A321" s="69" t="s">
        <v>104</v>
      </c>
      <c r="B321" s="69"/>
      <c r="C321" s="69"/>
      <c r="D321" s="69"/>
      <c r="F321" s="121">
        <f>F72+G72+H72+I72+J72+K72+F149+G149+H149+I149+J149+K149</f>
        <v>302388.67000000004</v>
      </c>
      <c r="G321" s="75">
        <f>F321*100/J276</f>
        <v>1.196624886282196</v>
      </c>
      <c r="H321" s="40"/>
      <c r="J321" s="93"/>
      <c r="K321" s="93"/>
      <c r="L321" s="93"/>
    </row>
    <row r="322" spans="1:12" s="43" customFormat="1" ht="18.75" x14ac:dyDescent="0.3">
      <c r="A322" s="69" t="s">
        <v>105</v>
      </c>
      <c r="B322" s="69"/>
      <c r="C322" s="69"/>
      <c r="D322" s="69"/>
      <c r="F322" s="121">
        <f>F73+G73+H73+I73+J73+K73+F150+G150+H150+I150+J150+K150</f>
        <v>286565.57000000007</v>
      </c>
      <c r="G322" s="75">
        <f>F322*100/J276</f>
        <v>1.1340090639429139</v>
      </c>
      <c r="H322" s="40"/>
      <c r="J322" s="93"/>
      <c r="K322" s="93"/>
      <c r="L322" s="93"/>
    </row>
    <row r="323" spans="1:12" s="43" customFormat="1" ht="18.75" x14ac:dyDescent="0.3">
      <c r="A323" s="69" t="s">
        <v>41</v>
      </c>
      <c r="B323" s="69"/>
      <c r="C323" s="69"/>
      <c r="D323" s="69"/>
      <c r="F323" s="121">
        <f>F74+G74+H74+I74+J74+K74+F151+G151+H151+I151+J151+K151</f>
        <v>699902.09</v>
      </c>
      <c r="G323" s="75">
        <f>F323*100/J276</f>
        <v>2.7696813470389654</v>
      </c>
      <c r="H323" s="40"/>
      <c r="J323" s="93"/>
      <c r="K323" s="93"/>
      <c r="L323" s="93"/>
    </row>
    <row r="324" spans="1:12" s="43" customFormat="1" ht="18.75" x14ac:dyDescent="0.3">
      <c r="A324" s="69" t="s">
        <v>214</v>
      </c>
      <c r="B324" s="69"/>
      <c r="C324" s="69"/>
      <c r="D324" s="69"/>
      <c r="F324" s="121">
        <f>F76+G76+H76+I76+J76+K76+F160+G160+H160+I160+J160+K160</f>
        <v>9600</v>
      </c>
      <c r="G324" s="75">
        <f>F324*100/J276</f>
        <v>3.7989514978550881E-2</v>
      </c>
      <c r="H324" s="40"/>
      <c r="J324" s="93"/>
      <c r="K324" s="93"/>
      <c r="L324" s="93"/>
    </row>
    <row r="325" spans="1:12" s="43" customFormat="1" ht="18.75" x14ac:dyDescent="0.3">
      <c r="A325" s="69" t="s">
        <v>108</v>
      </c>
      <c r="B325" s="69"/>
      <c r="C325" s="69"/>
      <c r="D325" s="69"/>
      <c r="F325" s="121">
        <f>F78+G78+H78+I78+J78+K78+F158+G158+H158+I158+J158+K158</f>
        <v>92833.62</v>
      </c>
      <c r="G325" s="75">
        <f>F325*100/J276</f>
        <v>0.36736502057323966</v>
      </c>
      <c r="H325" s="40"/>
      <c r="J325" s="93"/>
      <c r="K325" s="93"/>
      <c r="L325" s="93"/>
    </row>
    <row r="326" spans="1:12" s="43" customFormat="1" ht="18.75" x14ac:dyDescent="0.3">
      <c r="A326" s="69" t="s">
        <v>47</v>
      </c>
      <c r="B326" s="69"/>
      <c r="C326" s="69"/>
      <c r="D326" s="69"/>
      <c r="F326" s="121">
        <f>F80+G80+H80+I80+J80+K80+F153+G153+H153+I153+J153+K153</f>
        <v>3000</v>
      </c>
      <c r="G326" s="75">
        <f>F326*100/J276</f>
        <v>1.187172343079715E-2</v>
      </c>
      <c r="H326" s="40"/>
      <c r="J326" s="93"/>
      <c r="K326" s="93"/>
      <c r="L326" s="93"/>
    </row>
    <row r="327" spans="1:12" s="43" customFormat="1" ht="19.5" thickBot="1" x14ac:dyDescent="0.35">
      <c r="A327" s="69" t="s">
        <v>48</v>
      </c>
      <c r="B327" s="69"/>
      <c r="C327" s="69"/>
      <c r="D327" s="69"/>
      <c r="F327" s="121">
        <f>F81+G81+H81+I81+J81+K81+F154+G154+H154+I154+J154+K154</f>
        <v>4392</v>
      </c>
      <c r="G327" s="75">
        <f>F327*100/J276</f>
        <v>1.7380203102687029E-2</v>
      </c>
      <c r="H327" s="40"/>
      <c r="J327" s="93"/>
      <c r="K327" s="93"/>
      <c r="L327" s="93"/>
    </row>
    <row r="328" spans="1:12" s="43" customFormat="1" ht="20.25" thickBot="1" x14ac:dyDescent="0.4">
      <c r="A328" s="112" t="s">
        <v>118</v>
      </c>
      <c r="B328" s="69"/>
      <c r="C328" s="69"/>
      <c r="D328" s="69"/>
      <c r="F328" s="39">
        <f>SUM(F317:F327)</f>
        <v>1901622.9500000002</v>
      </c>
      <c r="G328" s="113">
        <f>SUM(G317:G327)</f>
        <v>7.5251805773521996</v>
      </c>
      <c r="J328" s="93"/>
      <c r="K328" s="93"/>
      <c r="L328" s="93"/>
    </row>
    <row r="329" spans="1:12" s="43" customFormat="1" ht="20.25" thickBot="1" x14ac:dyDescent="0.4">
      <c r="A329" s="112" t="s">
        <v>95</v>
      </c>
      <c r="B329" s="69"/>
      <c r="C329" s="69"/>
      <c r="D329" s="69"/>
      <c r="F329" s="39">
        <f>F315+F328</f>
        <v>5900816.5200000005</v>
      </c>
      <c r="G329" s="113">
        <f>G315+G328</f>
        <v>23.350953913772969</v>
      </c>
      <c r="J329" s="93"/>
      <c r="K329" s="93"/>
      <c r="L329" s="93"/>
    </row>
    <row r="330" spans="1:12" s="43" customFormat="1" ht="19.5" x14ac:dyDescent="0.35">
      <c r="A330" s="112"/>
      <c r="B330" s="69"/>
      <c r="C330" s="69"/>
      <c r="D330" s="69"/>
      <c r="F330" s="111"/>
      <c r="H330" s="75"/>
      <c r="J330" s="93"/>
      <c r="K330" s="93"/>
      <c r="L330" s="93"/>
    </row>
    <row r="331" spans="1:12" s="43" customFormat="1" ht="20.25" x14ac:dyDescent="0.3">
      <c r="A331" s="44" t="s">
        <v>99</v>
      </c>
      <c r="B331" s="69"/>
      <c r="C331" s="69"/>
      <c r="D331" s="69"/>
      <c r="F331" s="121"/>
      <c r="H331" s="75"/>
      <c r="J331" s="93"/>
      <c r="K331" s="93"/>
      <c r="L331" s="93"/>
    </row>
    <row r="332" spans="1:12" s="43" customFormat="1" ht="18.75" x14ac:dyDescent="0.3">
      <c r="A332" s="69" t="s">
        <v>109</v>
      </c>
      <c r="B332" s="69"/>
      <c r="C332" s="69"/>
      <c r="D332" s="69"/>
      <c r="F332" s="121">
        <f>F59+G59+H59+I59+J59+K59+F136+G136+H136+I136+J136+K136</f>
        <v>578163</v>
      </c>
      <c r="G332" s="75">
        <f>F332*100/J276</f>
        <v>2.2879304113066579</v>
      </c>
      <c r="H332" s="40"/>
      <c r="J332" s="93"/>
      <c r="K332" s="93"/>
      <c r="L332" s="93"/>
    </row>
    <row r="333" spans="1:12" s="43" customFormat="1" ht="18.75" x14ac:dyDescent="0.3">
      <c r="A333" s="69" t="s">
        <v>100</v>
      </c>
      <c r="B333" s="69"/>
      <c r="C333" s="69"/>
      <c r="D333" s="69"/>
      <c r="E333" s="120"/>
      <c r="F333" s="121">
        <f>F61+G61+H61+I61+J61+K61+F138+G138+H138+I138+J138+K138</f>
        <v>69986</v>
      </c>
      <c r="G333" s="75">
        <f>F333*100/J276</f>
        <v>0.27695147867592312</v>
      </c>
      <c r="H333" s="40"/>
      <c r="J333" s="93"/>
      <c r="K333" s="93"/>
      <c r="L333" s="93"/>
    </row>
    <row r="334" spans="1:12" s="43" customFormat="1" ht="18.75" x14ac:dyDescent="0.3">
      <c r="A334" s="69" t="s">
        <v>103</v>
      </c>
      <c r="B334" s="69"/>
      <c r="C334" s="69"/>
      <c r="D334" s="69"/>
      <c r="E334" s="120"/>
      <c r="F334" s="121">
        <f>F66+G66+H66+I66+J66+K66+F144+G144+H144+I144+J144+K144</f>
        <v>170000</v>
      </c>
      <c r="G334" s="75">
        <f>F334*100/J276</f>
        <v>0.67273099441183859</v>
      </c>
      <c r="H334" s="40"/>
      <c r="J334" s="93"/>
      <c r="K334" s="93"/>
      <c r="L334" s="93"/>
    </row>
    <row r="335" spans="1:12" s="43" customFormat="1" ht="18.75" x14ac:dyDescent="0.3">
      <c r="A335" s="69" t="s">
        <v>39</v>
      </c>
      <c r="F335" s="40">
        <f>F71+G71+H71+I71+J71+K71+F148+G148+H148+I148+J148+K148</f>
        <v>86285.07</v>
      </c>
      <c r="G335" s="75">
        <f>F335*100/J276</f>
        <v>0.3414508290823241</v>
      </c>
      <c r="H335" s="40"/>
      <c r="J335" s="93"/>
      <c r="K335" s="93"/>
      <c r="L335" s="93"/>
    </row>
    <row r="336" spans="1:12" s="43" customFormat="1" ht="18.75" x14ac:dyDescent="0.3">
      <c r="A336" s="69" t="s">
        <v>106</v>
      </c>
      <c r="B336" s="69"/>
      <c r="C336" s="69"/>
      <c r="D336" s="69"/>
      <c r="E336" s="110"/>
      <c r="F336" s="121">
        <f>F75+G75+H75+I75+J75+K75+F152+G152+H152+I152+J152+K152</f>
        <v>349616</v>
      </c>
      <c r="G336" s="75">
        <f>F336*100/J276</f>
        <v>1.3835148196605256</v>
      </c>
      <c r="H336" s="40"/>
      <c r="J336" s="93"/>
      <c r="K336" s="93"/>
      <c r="L336" s="93"/>
    </row>
    <row r="337" spans="1:12" s="43" customFormat="1" ht="18.75" x14ac:dyDescent="0.3">
      <c r="A337" s="69" t="s">
        <v>107</v>
      </c>
      <c r="B337" s="69"/>
      <c r="C337" s="69"/>
      <c r="D337" s="69"/>
      <c r="E337" s="110"/>
      <c r="F337" s="121">
        <f>F77+G77+H77+I77+J77+K77+F156+G156+H156+I156+J156+K156</f>
        <v>3000</v>
      </c>
      <c r="G337" s="75">
        <f>F337*100/J276</f>
        <v>1.187172343079715E-2</v>
      </c>
      <c r="H337" s="40"/>
      <c r="J337" s="93"/>
      <c r="K337" s="93"/>
      <c r="L337" s="93"/>
    </row>
    <row r="338" spans="1:12" s="43" customFormat="1" ht="18.75" x14ac:dyDescent="0.3">
      <c r="A338" s="69" t="s">
        <v>240</v>
      </c>
      <c r="B338" s="69"/>
      <c r="C338" s="69"/>
      <c r="D338" s="69"/>
      <c r="E338" s="110"/>
      <c r="F338" s="121">
        <f>F82+G82+H82+I82+J82+K82</f>
        <v>184096</v>
      </c>
      <c r="G338" s="75">
        <f>F338*100/J276</f>
        <v>0.72851226557201076</v>
      </c>
      <c r="H338" s="40"/>
      <c r="J338" s="93"/>
      <c r="K338" s="93"/>
      <c r="L338" s="93"/>
    </row>
    <row r="339" spans="1:12" s="43" customFormat="1" ht="18.75" x14ac:dyDescent="0.3">
      <c r="A339" s="69" t="s">
        <v>143</v>
      </c>
      <c r="B339" s="69"/>
      <c r="C339" s="69"/>
      <c r="D339" s="69"/>
      <c r="E339" s="110"/>
      <c r="F339" s="121">
        <f>F85+G85+H85+I85+J85+K85+F157+G157+H157+I157+J157+K157</f>
        <v>236000</v>
      </c>
      <c r="G339" s="75">
        <f>F339*100/J276</f>
        <v>0.9339089098893758</v>
      </c>
      <c r="H339" s="40"/>
      <c r="J339" s="93"/>
      <c r="K339" s="93"/>
      <c r="L339" s="93"/>
    </row>
    <row r="340" spans="1:12" s="43" customFormat="1" ht="18.75" x14ac:dyDescent="0.3">
      <c r="A340" s="69" t="s">
        <v>110</v>
      </c>
      <c r="B340" s="69"/>
      <c r="C340" s="69"/>
      <c r="D340" s="69"/>
      <c r="E340" s="110"/>
      <c r="F340" s="121">
        <f>F83+G83+H83+I83+J83+K83+F155+G155+H155+I155+J155+K155</f>
        <v>21300</v>
      </c>
      <c r="G340" s="75">
        <f>F340*100/J276</f>
        <v>8.4289236358659772E-2</v>
      </c>
      <c r="H340" s="40"/>
      <c r="J340" s="93"/>
      <c r="K340" s="93"/>
      <c r="L340" s="93"/>
    </row>
    <row r="341" spans="1:12" s="43" customFormat="1" ht="18.75" x14ac:dyDescent="0.3">
      <c r="A341" s="69" t="s">
        <v>280</v>
      </c>
      <c r="B341" s="69"/>
      <c r="C341" s="69"/>
      <c r="D341" s="69"/>
      <c r="E341" s="110"/>
      <c r="F341" s="121">
        <f>+SUM(F142:K142)+SUM(F79:K79)</f>
        <v>0</v>
      </c>
      <c r="G341" s="75">
        <f>F341*100/J276</f>
        <v>0</v>
      </c>
      <c r="H341" s="40"/>
      <c r="J341" s="93"/>
      <c r="K341" s="93"/>
      <c r="L341" s="93"/>
    </row>
    <row r="342" spans="1:12" s="43" customFormat="1" ht="18.75" x14ac:dyDescent="0.3">
      <c r="A342" s="69" t="s">
        <v>150</v>
      </c>
      <c r="B342" s="69"/>
      <c r="C342" s="69"/>
      <c r="D342" s="69"/>
      <c r="E342" s="110"/>
      <c r="F342" s="121">
        <f>F163+G163+H163+I163+J163+K163</f>
        <v>0</v>
      </c>
      <c r="G342" s="75">
        <f>F342*100/J276</f>
        <v>0</v>
      </c>
      <c r="H342" s="40"/>
      <c r="J342" s="93"/>
      <c r="K342" s="93"/>
      <c r="L342" s="93"/>
    </row>
    <row r="343" spans="1:12" s="43" customFormat="1" ht="19.5" thickBot="1" x14ac:dyDescent="0.35">
      <c r="A343" s="69" t="s">
        <v>294</v>
      </c>
      <c r="B343" s="118"/>
      <c r="C343" s="118"/>
      <c r="D343" s="118"/>
      <c r="F343" s="40">
        <f>F84+G84+H84+I84+J84+K84+F161+G161+H161+I161+J161+K161</f>
        <v>397713.20999999996</v>
      </c>
      <c r="G343" s="75">
        <f>F343*100/J276</f>
        <v>1.5738470779648492</v>
      </c>
      <c r="H343" s="40"/>
      <c r="J343" s="93"/>
      <c r="K343" s="93"/>
      <c r="L343" s="93"/>
    </row>
    <row r="344" spans="1:12" s="43" customFormat="1" ht="20.25" thickBot="1" x14ac:dyDescent="0.4">
      <c r="A344" s="112" t="s">
        <v>119</v>
      </c>
      <c r="B344" s="118"/>
      <c r="C344" s="118"/>
      <c r="D344" s="118"/>
      <c r="F344" s="39">
        <f>SUM(F332:F343)</f>
        <v>2096159.28</v>
      </c>
      <c r="G344" s="113">
        <f>SUM(G332:G343)</f>
        <v>8.2950077463529635</v>
      </c>
      <c r="H344" s="75"/>
      <c r="J344" s="93"/>
      <c r="K344" s="93"/>
      <c r="L344" s="93"/>
    </row>
    <row r="345" spans="1:12" s="43" customFormat="1" ht="18.75" x14ac:dyDescent="0.3">
      <c r="A345" s="69"/>
      <c r="B345" s="118"/>
      <c r="C345" s="118"/>
      <c r="D345" s="118"/>
      <c r="F345" s="40"/>
      <c r="H345" s="75"/>
      <c r="J345" s="93"/>
      <c r="K345" s="93"/>
      <c r="L345" s="93"/>
    </row>
    <row r="346" spans="1:12" s="43" customFormat="1" ht="20.25" x14ac:dyDescent="0.3">
      <c r="A346" s="44" t="s">
        <v>111</v>
      </c>
      <c r="B346" s="118"/>
      <c r="C346" s="118"/>
      <c r="D346" s="118"/>
      <c r="F346" s="40"/>
      <c r="H346" s="75"/>
      <c r="J346" s="93"/>
      <c r="K346" s="93"/>
      <c r="L346" s="93"/>
    </row>
    <row r="347" spans="1:12" s="43" customFormat="1" ht="19.5" thickBot="1" x14ac:dyDescent="0.35">
      <c r="A347" s="69" t="s">
        <v>112</v>
      </c>
      <c r="B347" s="118"/>
      <c r="C347" s="118"/>
      <c r="D347" s="118"/>
      <c r="F347" s="40">
        <f>F60+G60+H60+I60+J60+K60+F137+G137+H137+I137+J137+K137</f>
        <v>22493.760000000002</v>
      </c>
      <c r="G347" s="75">
        <f>F347*100/J276</f>
        <v>8.9013232546242577E-2</v>
      </c>
      <c r="H347" s="40"/>
      <c r="J347" s="93"/>
      <c r="K347" s="93"/>
      <c r="L347" s="93"/>
    </row>
    <row r="348" spans="1:12" s="43" customFormat="1" ht="20.25" thickBot="1" x14ac:dyDescent="0.4">
      <c r="A348" s="112" t="s">
        <v>113</v>
      </c>
      <c r="B348" s="119"/>
      <c r="C348" s="119"/>
      <c r="D348" s="119"/>
      <c r="E348" s="120"/>
      <c r="F348" s="39">
        <f>SUM(F347:F347)</f>
        <v>22493.760000000002</v>
      </c>
      <c r="G348" s="113">
        <f>SUM(G347)</f>
        <v>8.9013232546242577E-2</v>
      </c>
      <c r="H348" s="75"/>
      <c r="J348" s="93"/>
      <c r="K348" s="93"/>
      <c r="L348" s="93"/>
    </row>
    <row r="349" spans="1:12" s="43" customFormat="1" ht="19.5" x14ac:dyDescent="0.35">
      <c r="A349" s="112"/>
      <c r="B349" s="119"/>
      <c r="C349" s="119"/>
      <c r="D349" s="119"/>
      <c r="E349" s="120"/>
      <c r="F349" s="111"/>
      <c r="H349" s="75"/>
      <c r="J349" s="93"/>
      <c r="K349" s="93"/>
      <c r="L349" s="93"/>
    </row>
    <row r="350" spans="1:12" s="43" customFormat="1" ht="20.25" x14ac:dyDescent="0.3">
      <c r="A350" s="44" t="s">
        <v>116</v>
      </c>
      <c r="B350" s="119"/>
      <c r="C350" s="119"/>
      <c r="D350" s="119"/>
      <c r="E350" s="120"/>
      <c r="F350" s="111"/>
      <c r="H350" s="75"/>
      <c r="J350" s="93"/>
      <c r="K350" s="93"/>
      <c r="L350" s="93"/>
    </row>
    <row r="351" spans="1:12" s="43" customFormat="1" ht="18.75" x14ac:dyDescent="0.3">
      <c r="A351" s="69" t="s">
        <v>226</v>
      </c>
      <c r="B351" s="119"/>
      <c r="C351" s="119"/>
      <c r="D351" s="119"/>
      <c r="E351" s="120"/>
      <c r="F351" s="134">
        <f>+SUM(F261:K261)+SUM(F251:K251)</f>
        <v>387091.91000000003</v>
      </c>
      <c r="G351" s="40">
        <f>+F351*100/J276</f>
        <v>1.5318160326063406</v>
      </c>
      <c r="H351" s="40"/>
      <c r="J351" s="93"/>
      <c r="K351" s="93"/>
      <c r="L351" s="93"/>
    </row>
    <row r="352" spans="1:12" s="43" customFormat="1" ht="19.5" thickBot="1" x14ac:dyDescent="0.35">
      <c r="A352" s="69" t="s">
        <v>146</v>
      </c>
      <c r="B352" s="119"/>
      <c r="C352" s="119"/>
      <c r="D352" s="119"/>
      <c r="E352" s="120"/>
      <c r="F352" s="121">
        <f>F87+G87+H87+I87+J87+K87+F159+G159+H159+I159+J159+K159</f>
        <v>22178</v>
      </c>
      <c r="G352" s="75">
        <f>F352*100/J276</f>
        <v>8.7763694082739735E-2</v>
      </c>
      <c r="H352" s="40"/>
      <c r="J352" s="93"/>
      <c r="K352" s="93"/>
      <c r="L352" s="93"/>
    </row>
    <row r="353" spans="1:19" s="43" customFormat="1" ht="20.25" thickBot="1" x14ac:dyDescent="0.4">
      <c r="A353" s="112" t="s">
        <v>120</v>
      </c>
      <c r="B353" s="119"/>
      <c r="C353" s="119"/>
      <c r="D353" s="119"/>
      <c r="E353" s="120"/>
      <c r="F353" s="39">
        <f>SUM(F351:F352)</f>
        <v>409269.91000000003</v>
      </c>
      <c r="G353" s="113">
        <f>SUM(G351:G352)</f>
        <v>1.6195797266890803</v>
      </c>
      <c r="H353" s="75"/>
      <c r="J353" s="93"/>
      <c r="K353" s="93"/>
      <c r="L353" s="93"/>
    </row>
    <row r="354" spans="1:19" s="43" customFormat="1" ht="18.75" x14ac:dyDescent="0.3">
      <c r="A354" s="69"/>
      <c r="B354" s="119"/>
      <c r="C354" s="119"/>
      <c r="D354" s="119"/>
      <c r="E354" s="120"/>
      <c r="F354" s="111"/>
      <c r="H354" s="75"/>
      <c r="J354" s="93"/>
      <c r="K354" s="93"/>
      <c r="L354" s="93"/>
    </row>
    <row r="355" spans="1:19" s="43" customFormat="1" ht="20.25" x14ac:dyDescent="0.3">
      <c r="A355" s="44" t="s">
        <v>115</v>
      </c>
      <c r="B355" s="119"/>
      <c r="C355" s="119"/>
      <c r="D355" s="119"/>
      <c r="E355" s="120"/>
      <c r="F355" s="111"/>
      <c r="H355" s="75"/>
      <c r="J355" s="93"/>
      <c r="K355" s="93"/>
      <c r="L355" s="93"/>
    </row>
    <row r="356" spans="1:19" s="43" customFormat="1" ht="18.75" x14ac:dyDescent="0.3">
      <c r="A356" s="69" t="s">
        <v>114</v>
      </c>
      <c r="B356" s="119"/>
      <c r="C356" s="119"/>
      <c r="D356" s="119"/>
      <c r="E356" s="120"/>
      <c r="F356" s="121">
        <f>F67+G67+H67+I67+J67+K67+F145+G145+H145+I145+J145+K145</f>
        <v>33320</v>
      </c>
      <c r="G356" s="75">
        <f>F356*100/J276</f>
        <v>0.13185527490472035</v>
      </c>
      <c r="H356" s="40"/>
      <c r="J356" s="93"/>
      <c r="K356" s="93"/>
      <c r="L356" s="93"/>
    </row>
    <row r="357" spans="1:19" s="43" customFormat="1" ht="18.75" x14ac:dyDescent="0.3">
      <c r="A357" s="69" t="s">
        <v>203</v>
      </c>
      <c r="B357" s="119"/>
      <c r="C357" s="119"/>
      <c r="D357" s="119"/>
      <c r="E357" s="120"/>
      <c r="F357" s="121">
        <f>F68+G68+H68+I68+J68+K68+F146+G146+H146+I146+J146+K146</f>
        <v>0</v>
      </c>
      <c r="G357" s="75">
        <f>F357*100/J276</f>
        <v>0</v>
      </c>
      <c r="H357" s="40"/>
      <c r="J357" s="93"/>
      <c r="K357" s="93"/>
      <c r="L357" s="93"/>
      <c r="S357" s="40"/>
    </row>
    <row r="358" spans="1:19" s="43" customFormat="1" ht="18.75" x14ac:dyDescent="0.3">
      <c r="A358" s="69" t="s">
        <v>202</v>
      </c>
      <c r="B358" s="119"/>
      <c r="C358" s="119"/>
      <c r="D358" s="119"/>
      <c r="E358" s="120"/>
      <c r="F358" s="121">
        <f>F69+G69+H69+I69+J69+K69+F147+G147+H147+I147+J147+K147</f>
        <v>0</v>
      </c>
      <c r="G358" s="75">
        <f>F358*100/J276</f>
        <v>0</v>
      </c>
      <c r="H358" s="40"/>
      <c r="J358" s="93"/>
      <c r="K358" s="93"/>
      <c r="L358" s="93"/>
    </row>
    <row r="359" spans="1:19" s="43" customFormat="1" ht="18.75" x14ac:dyDescent="0.3">
      <c r="A359" s="69" t="s">
        <v>201</v>
      </c>
      <c r="B359" s="119"/>
      <c r="C359" s="119"/>
      <c r="D359" s="119"/>
      <c r="E359" s="120"/>
      <c r="F359" s="121">
        <f>F70+G70+H70+I70+J70+K70</f>
        <v>0</v>
      </c>
      <c r="G359" s="75">
        <f>F359*100/J276</f>
        <v>0</v>
      </c>
      <c r="H359" s="40"/>
      <c r="J359" s="93"/>
      <c r="K359" s="93"/>
      <c r="L359" s="93"/>
    </row>
    <row r="360" spans="1:19" s="43" customFormat="1" ht="19.5" thickBot="1" x14ac:dyDescent="0.35">
      <c r="A360" s="69" t="s">
        <v>169</v>
      </c>
      <c r="B360" s="119"/>
      <c r="C360" s="119"/>
      <c r="D360" s="119"/>
      <c r="E360" s="120"/>
      <c r="F360" s="121">
        <f>F86+G86+H86+I86+J86+K86+F162+G162+H162+I162+J162+K162</f>
        <v>135714</v>
      </c>
      <c r="G360" s="75">
        <f>F360*100/J276</f>
        <v>0.53705302456240145</v>
      </c>
      <c r="H360" s="40"/>
      <c r="J360" s="93"/>
      <c r="K360" s="93"/>
      <c r="L360" s="93"/>
    </row>
    <row r="361" spans="1:19" s="43" customFormat="1" ht="20.25" thickBot="1" x14ac:dyDescent="0.4">
      <c r="A361" s="112" t="s">
        <v>121</v>
      </c>
      <c r="B361" s="119"/>
      <c r="C361" s="119"/>
      <c r="D361" s="119"/>
      <c r="E361" s="120"/>
      <c r="F361" s="39">
        <f>SUM(F356:F360)</f>
        <v>169034</v>
      </c>
      <c r="G361" s="39">
        <f>SUM(G356:G360)</f>
        <v>0.66890829946712183</v>
      </c>
      <c r="H361" s="75"/>
      <c r="J361" s="93"/>
      <c r="K361" s="93"/>
      <c r="L361" s="93"/>
    </row>
    <row r="362" spans="1:19" s="43" customFormat="1" ht="20.25" thickBot="1" x14ac:dyDescent="0.4">
      <c r="A362" s="112"/>
      <c r="B362" s="119"/>
      <c r="C362" s="119"/>
      <c r="D362" s="119"/>
      <c r="E362" s="120"/>
      <c r="F362" s="111"/>
      <c r="J362" s="93"/>
      <c r="K362" s="93"/>
      <c r="L362" s="93"/>
    </row>
    <row r="363" spans="1:19" s="43" customFormat="1" ht="20.25" thickBot="1" x14ac:dyDescent="0.4">
      <c r="A363" s="95" t="s">
        <v>123</v>
      </c>
      <c r="B363" s="119"/>
      <c r="C363" s="119"/>
      <c r="D363" s="119"/>
      <c r="E363" s="120"/>
      <c r="F363" s="106">
        <f>+F361+F353+F348+F344+F329+F308+F303</f>
        <v>25270130.469999999</v>
      </c>
      <c r="G363" s="113">
        <f>+G361+G353+G348+G344+G329+G308+G303</f>
        <v>100.00000000000001</v>
      </c>
      <c r="H363" s="75"/>
      <c r="I363" s="75"/>
      <c r="J363" s="75"/>
      <c r="K363" s="119"/>
      <c r="L363" s="119"/>
      <c r="M363" s="119"/>
      <c r="N363" s="120"/>
    </row>
    <row r="364" spans="1:19" s="43" customFormat="1" ht="19.5" x14ac:dyDescent="0.35">
      <c r="A364" s="95"/>
      <c r="B364" s="119"/>
      <c r="C364" s="119"/>
      <c r="D364" s="119"/>
      <c r="E364" s="120"/>
      <c r="F364" s="111"/>
      <c r="J364" s="93"/>
      <c r="K364" s="93"/>
      <c r="L364" s="93"/>
    </row>
    <row r="365" spans="1:19" s="43" customFormat="1" ht="20.25" x14ac:dyDescent="0.3">
      <c r="A365" s="44" t="s">
        <v>125</v>
      </c>
      <c r="I365" s="93"/>
      <c r="K365" s="93"/>
      <c r="L365" s="93"/>
    </row>
    <row r="366" spans="1:19" s="43" customFormat="1" ht="19.5" x14ac:dyDescent="0.35">
      <c r="A366" s="95"/>
      <c r="B366" s="119"/>
      <c r="C366" s="119"/>
      <c r="D366" s="119"/>
      <c r="E366" s="120"/>
      <c r="F366" s="111"/>
      <c r="J366" s="93"/>
      <c r="K366" s="93"/>
      <c r="L366" s="93"/>
    </row>
    <row r="367" spans="1:19" s="43" customFormat="1" ht="21.75" thickBot="1" x14ac:dyDescent="0.4">
      <c r="A367" s="44" t="s">
        <v>141</v>
      </c>
      <c r="B367" s="119"/>
      <c r="C367" s="119"/>
      <c r="D367" s="119"/>
      <c r="E367" s="120"/>
      <c r="F367" s="111"/>
      <c r="G367" s="94" t="s">
        <v>153</v>
      </c>
      <c r="H367" s="94" t="s">
        <v>154</v>
      </c>
      <c r="J367" s="95" t="s">
        <v>132</v>
      </c>
      <c r="K367" s="93"/>
    </row>
    <row r="368" spans="1:19" s="43" customFormat="1" ht="19.5" thickBot="1" x14ac:dyDescent="0.35">
      <c r="A368" s="62" t="s">
        <v>54</v>
      </c>
      <c r="B368" s="62"/>
      <c r="C368" s="62"/>
      <c r="D368" s="62"/>
      <c r="E368" s="62"/>
      <c r="F368" s="121">
        <f>F169+G169+H169+I169+J169+K169+F207+G207+H207+I207+J207+K207</f>
        <v>1199</v>
      </c>
      <c r="G368" s="75">
        <f>F368*100/J368</f>
        <v>0.69411534911917983</v>
      </c>
      <c r="H368" s="75">
        <f>F368*100/J371</f>
        <v>3.047575474515634</v>
      </c>
      <c r="J368" s="39">
        <f>F190+G190+H190+I190+J190+K190+F209+G209+H209+I209+J209+K209</f>
        <v>172737.86</v>
      </c>
      <c r="K368" s="93"/>
      <c r="L368" s="93"/>
    </row>
    <row r="369" spans="1:12" s="43" customFormat="1" ht="18.75" x14ac:dyDescent="0.3">
      <c r="A369" s="62" t="s">
        <v>55</v>
      </c>
      <c r="B369" s="62"/>
      <c r="C369" s="62"/>
      <c r="D369" s="62"/>
      <c r="E369" s="62"/>
      <c r="F369" s="121">
        <f>F170+G170+H170+I170+J170+K170</f>
        <v>0</v>
      </c>
      <c r="G369" s="75">
        <f>F369*100/J368</f>
        <v>0</v>
      </c>
      <c r="H369" s="75">
        <f>F369*100/J371</f>
        <v>0</v>
      </c>
      <c r="J369" s="93"/>
      <c r="K369" s="93"/>
      <c r="L369" s="93"/>
    </row>
    <row r="370" spans="1:12" s="43" customFormat="1" ht="20.25" thickBot="1" x14ac:dyDescent="0.4">
      <c r="A370" s="62" t="s">
        <v>175</v>
      </c>
      <c r="B370" s="62"/>
      <c r="C370" s="62"/>
      <c r="D370" s="62"/>
      <c r="E370" s="62"/>
      <c r="F370" s="121">
        <f>F206+G206+H206+I206+J206+K206</f>
        <v>0</v>
      </c>
      <c r="G370" s="75">
        <f>F370*100/J368</f>
        <v>0</v>
      </c>
      <c r="H370" s="75">
        <f>F370*100/J371</f>
        <v>0</v>
      </c>
      <c r="J370" s="95" t="s">
        <v>155</v>
      </c>
      <c r="K370" s="93"/>
      <c r="L370" s="93"/>
    </row>
    <row r="371" spans="1:12" s="43" customFormat="1" ht="19.5" thickBot="1" x14ac:dyDescent="0.35">
      <c r="A371" s="62" t="s">
        <v>145</v>
      </c>
      <c r="B371" s="62"/>
      <c r="C371" s="62"/>
      <c r="D371" s="62"/>
      <c r="E371" s="62"/>
      <c r="F371" s="121">
        <f>F171+G171+H171+I171+J171+K171+F199+G199+H199+I199+J199+K199+I202</f>
        <v>30989.560000000005</v>
      </c>
      <c r="G371" s="75">
        <f>F371*100/J368</f>
        <v>17.940224569182465</v>
      </c>
      <c r="H371" s="75">
        <f>F371*100/J371</f>
        <v>78.76815931779042</v>
      </c>
      <c r="J371" s="39">
        <f>F397-F385-F386-F393-F394</f>
        <v>39342.750000000015</v>
      </c>
      <c r="K371" s="93"/>
      <c r="L371" s="93"/>
    </row>
    <row r="372" spans="1:12" s="43" customFormat="1" ht="18.75" x14ac:dyDescent="0.3">
      <c r="A372" s="62" t="s">
        <v>299</v>
      </c>
      <c r="B372" s="62"/>
      <c r="C372" s="62"/>
      <c r="D372" s="62"/>
      <c r="E372" s="62"/>
      <c r="F372" s="121">
        <f>G200</f>
        <v>0</v>
      </c>
      <c r="G372" s="75">
        <f>F372*100/J368</f>
        <v>0</v>
      </c>
      <c r="H372" s="75">
        <f>F372*100/J371</f>
        <v>0</v>
      </c>
      <c r="L372" s="93"/>
    </row>
    <row r="373" spans="1:12" s="43" customFormat="1" ht="19.5" thickBot="1" x14ac:dyDescent="0.35">
      <c r="A373" s="62" t="s">
        <v>57</v>
      </c>
      <c r="B373" s="62"/>
      <c r="C373" s="62"/>
      <c r="D373" s="62"/>
      <c r="E373" s="62"/>
      <c r="F373" s="121">
        <f>F177+G177+H177+I177+J177+K177</f>
        <v>6071.12</v>
      </c>
      <c r="G373" s="75">
        <f>F373*100/J368</f>
        <v>3.5146435182188784</v>
      </c>
      <c r="H373" s="75">
        <f>F373*100/J371</f>
        <v>15.431356476097877</v>
      </c>
      <c r="I373" s="107" t="s">
        <v>161</v>
      </c>
      <c r="K373" s="93"/>
      <c r="L373" s="93"/>
    </row>
    <row r="374" spans="1:12" s="43" customFormat="1" ht="21" thickBot="1" x14ac:dyDescent="0.35">
      <c r="A374" s="62" t="s">
        <v>58</v>
      </c>
      <c r="B374" s="62"/>
      <c r="C374" s="62"/>
      <c r="D374" s="62"/>
      <c r="E374" s="62"/>
      <c r="F374" s="121">
        <f>F179+G179+H179+I179+J179+K179</f>
        <v>0</v>
      </c>
      <c r="G374" s="75">
        <f>F374*100/J368</f>
        <v>0</v>
      </c>
      <c r="H374" s="75">
        <f>F374*100/J371</f>
        <v>0</v>
      </c>
      <c r="J374" s="122">
        <f>F369+F371+F375+F376</f>
        <v>30989.560000000005</v>
      </c>
      <c r="K374" s="108" t="s">
        <v>162</v>
      </c>
      <c r="L374" s="93"/>
    </row>
    <row r="375" spans="1:12" s="43" customFormat="1" ht="19.5" thickBot="1" x14ac:dyDescent="0.35">
      <c r="A375" s="62" t="s">
        <v>205</v>
      </c>
      <c r="B375" s="62"/>
      <c r="C375" s="62"/>
      <c r="D375" s="62"/>
      <c r="E375" s="62"/>
      <c r="F375" s="121">
        <f>F180+G180+H180+I180+J180+K180</f>
        <v>0</v>
      </c>
      <c r="G375" s="75">
        <f>F375*100/J368</f>
        <v>0</v>
      </c>
      <c r="H375" s="75">
        <f>F375*100/J371</f>
        <v>0</v>
      </c>
      <c r="J375" s="93"/>
      <c r="K375" s="102">
        <f>J374*100/J368</f>
        <v>17.940224569182465</v>
      </c>
      <c r="L375" s="93"/>
    </row>
    <row r="376" spans="1:12" s="43" customFormat="1" ht="18.75" x14ac:dyDescent="0.3">
      <c r="A376" s="62" t="s">
        <v>206</v>
      </c>
      <c r="B376" s="62"/>
      <c r="C376" s="62"/>
      <c r="D376" s="62"/>
      <c r="E376" s="62"/>
      <c r="F376" s="121">
        <f>F176+G176+H176+I176+J176+K176</f>
        <v>0</v>
      </c>
      <c r="G376" s="75">
        <f>F376*100/J368</f>
        <v>0</v>
      </c>
      <c r="H376" s="75">
        <f>F376*100/J371</f>
        <v>0</v>
      </c>
      <c r="J376" s="93"/>
      <c r="K376" s="109"/>
      <c r="L376" s="93"/>
    </row>
    <row r="377" spans="1:12" s="43" customFormat="1" ht="19.5" thickBot="1" x14ac:dyDescent="0.35">
      <c r="A377" s="62" t="s">
        <v>59</v>
      </c>
      <c r="B377" s="62"/>
      <c r="C377" s="62"/>
      <c r="D377" s="62"/>
      <c r="E377" s="62"/>
      <c r="F377" s="121">
        <f>F181+G181+H181+I181+J181+K181</f>
        <v>0</v>
      </c>
      <c r="G377" s="75">
        <f>F377*100/J368</f>
        <v>0</v>
      </c>
      <c r="H377" s="75">
        <f>F377*100/J371</f>
        <v>0</v>
      </c>
      <c r="I377" s="107" t="s">
        <v>170</v>
      </c>
      <c r="K377" s="93"/>
      <c r="L377" s="93"/>
    </row>
    <row r="378" spans="1:12" s="43" customFormat="1" ht="21" thickBot="1" x14ac:dyDescent="0.35">
      <c r="A378" s="62" t="s">
        <v>144</v>
      </c>
      <c r="B378" s="62"/>
      <c r="C378" s="62"/>
      <c r="D378" s="62"/>
      <c r="E378" s="62"/>
      <c r="F378" s="121">
        <f>F205+G205+H205+I205+J205+K205</f>
        <v>0</v>
      </c>
      <c r="G378" s="75">
        <f>F378*100/J368</f>
        <v>0</v>
      </c>
      <c r="H378" s="75">
        <f>F378*100/J371</f>
        <v>0</v>
      </c>
      <c r="J378" s="39">
        <f>F397-F369-F375-F376-F371</f>
        <v>134400.26</v>
      </c>
      <c r="K378" s="108" t="s">
        <v>162</v>
      </c>
      <c r="L378" s="93"/>
    </row>
    <row r="379" spans="1:12" s="43" customFormat="1" ht="19.5" thickBot="1" x14ac:dyDescent="0.35">
      <c r="A379" s="62" t="s">
        <v>215</v>
      </c>
      <c r="B379" s="62"/>
      <c r="C379" s="62"/>
      <c r="D379" s="62"/>
      <c r="E379" s="62"/>
      <c r="F379" s="121">
        <f>F204+G204+H204+I204+J204+K204+F178+G178+H178+I178+J178+K178</f>
        <v>0</v>
      </c>
      <c r="G379" s="75">
        <f>F379*100/J368</f>
        <v>0</v>
      </c>
      <c r="H379" s="75">
        <f>F379*100/J371</f>
        <v>0</v>
      </c>
      <c r="J379" s="93"/>
      <c r="K379" s="102">
        <f>J378*100/J368</f>
        <v>77.805907749465007</v>
      </c>
      <c r="L379" s="93"/>
    </row>
    <row r="380" spans="1:12" s="43" customFormat="1" ht="18.75" x14ac:dyDescent="0.3">
      <c r="A380" s="62" t="s">
        <v>70</v>
      </c>
      <c r="B380" s="62"/>
      <c r="C380" s="62"/>
      <c r="D380" s="62"/>
      <c r="E380" s="62"/>
      <c r="F380" s="121">
        <f>F182+G182+H182+I182+J182+K182+F195+G195+H195+I195+J195+K195</f>
        <v>0</v>
      </c>
      <c r="G380" s="75">
        <f>F380*100/J368</f>
        <v>0</v>
      </c>
      <c r="H380" s="75">
        <f>F380*100/J371</f>
        <v>0</v>
      </c>
      <c r="L380" s="93"/>
    </row>
    <row r="381" spans="1:12" s="43" customFormat="1" ht="19.5" thickBot="1" x14ac:dyDescent="0.35">
      <c r="A381" s="62" t="s">
        <v>254</v>
      </c>
      <c r="B381" s="62"/>
      <c r="C381" s="62"/>
      <c r="D381" s="62"/>
      <c r="E381" s="62"/>
      <c r="F381" s="40">
        <f>F183+G183+H183+I183+J183+K183+F196+G196+H196+I196+J196+K196</f>
        <v>1000</v>
      </c>
      <c r="G381" s="75">
        <f>F381*100/J368</f>
        <v>0.57891188416945771</v>
      </c>
      <c r="H381" s="75">
        <f>F381*100/J371</f>
        <v>2.5417643657344735</v>
      </c>
      <c r="L381" s="93"/>
    </row>
    <row r="382" spans="1:12" s="43" customFormat="1" ht="20.25" thickBot="1" x14ac:dyDescent="0.4">
      <c r="A382" s="123" t="s">
        <v>126</v>
      </c>
      <c r="B382" s="62"/>
      <c r="C382" s="62"/>
      <c r="D382" s="62"/>
      <c r="E382" s="62"/>
      <c r="F382" s="39">
        <f>SUM(F368:F381)</f>
        <v>39259.680000000008</v>
      </c>
      <c r="G382" s="113">
        <f>SUM(G368:G381)</f>
        <v>22.727895320689981</v>
      </c>
      <c r="H382" s="113">
        <f>SUM(H368:H381)</f>
        <v>99.788855634138415</v>
      </c>
      <c r="I382" s="96" t="s">
        <v>164</v>
      </c>
      <c r="K382" s="93"/>
      <c r="L382" s="93"/>
    </row>
    <row r="383" spans="1:12" s="43" customFormat="1" ht="21" thickBot="1" x14ac:dyDescent="0.35">
      <c r="A383" s="62"/>
      <c r="B383" s="62"/>
      <c r="C383" s="62"/>
      <c r="D383" s="62"/>
      <c r="E383" s="62"/>
      <c r="F383" s="40"/>
      <c r="H383" s="75"/>
      <c r="I383" s="124" t="s">
        <v>165</v>
      </c>
      <c r="J383" s="106">
        <f>J281+J374*K390</f>
        <v>1363540.6400000001</v>
      </c>
      <c r="K383" s="108" t="s">
        <v>162</v>
      </c>
      <c r="L383" s="93"/>
    </row>
    <row r="384" spans="1:12" s="43" customFormat="1" ht="21" thickBot="1" x14ac:dyDescent="0.35">
      <c r="A384" s="125" t="s">
        <v>130</v>
      </c>
      <c r="B384" s="126"/>
      <c r="C384" s="62"/>
      <c r="D384" s="62"/>
      <c r="E384" s="62"/>
      <c r="F384" s="40"/>
      <c r="H384" s="75"/>
      <c r="I384" s="124" t="s">
        <v>166</v>
      </c>
      <c r="J384" s="113">
        <f>J383/K390</f>
        <v>30989.56</v>
      </c>
      <c r="K384" s="102">
        <f>J384*100/(J384+J388)</f>
        <v>18.737283830407456</v>
      </c>
      <c r="L384" s="93"/>
    </row>
    <row r="385" spans="1:12" s="43" customFormat="1" ht="20.25" x14ac:dyDescent="0.3">
      <c r="A385" s="62" t="s">
        <v>127</v>
      </c>
      <c r="B385" s="126"/>
      <c r="C385" s="62"/>
      <c r="D385" s="62"/>
      <c r="E385" s="62"/>
      <c r="F385" s="40">
        <f>F167+G167+H167+I167+J167+K167+F193+G193+H193+I193+J193+K193</f>
        <v>121365.06999999999</v>
      </c>
      <c r="G385" s="75">
        <f>F385*100/J368</f>
        <v>70.25968134605813</v>
      </c>
      <c r="H385" s="75">
        <v>0</v>
      </c>
      <c r="L385" s="93"/>
    </row>
    <row r="386" spans="1:12" s="43" customFormat="1" ht="21" thickBot="1" x14ac:dyDescent="0.35">
      <c r="A386" s="62" t="s">
        <v>151</v>
      </c>
      <c r="B386" s="126"/>
      <c r="C386" s="62"/>
      <c r="D386" s="62"/>
      <c r="E386" s="62"/>
      <c r="F386" s="40">
        <f>F187+G187+H187+I187+J187+K187+F208+G208+H208+I208+J208+K208</f>
        <v>0</v>
      </c>
      <c r="G386" s="75">
        <f>F386*100/J368</f>
        <v>0</v>
      </c>
      <c r="H386" s="75">
        <v>0</v>
      </c>
      <c r="I386" s="96" t="s">
        <v>167</v>
      </c>
      <c r="K386" s="93"/>
      <c r="L386" s="93"/>
    </row>
    <row r="387" spans="1:12" s="43" customFormat="1" ht="21" thickBot="1" x14ac:dyDescent="0.35">
      <c r="A387" s="62" t="s">
        <v>236</v>
      </c>
      <c r="B387" s="126"/>
      <c r="C387" s="62"/>
      <c r="D387" s="62"/>
      <c r="E387" s="62"/>
      <c r="F387" s="40">
        <f>F168+G168+H168+I168+J168+K168+F194+G194+H194+I194+J194+K194</f>
        <v>83.070000000000007</v>
      </c>
      <c r="G387" s="75">
        <f>F387*100/J368</f>
        <v>4.8090210217956855E-2</v>
      </c>
      <c r="H387" s="75">
        <f>F387*100/J371</f>
        <v>0.21114436586156274</v>
      </c>
      <c r="I387" s="124" t="s">
        <v>165</v>
      </c>
      <c r="J387" s="127">
        <f>J285+J378*K390</f>
        <v>5913611.4400000004</v>
      </c>
      <c r="K387" s="108" t="s">
        <v>162</v>
      </c>
      <c r="L387" s="93"/>
    </row>
    <row r="388" spans="1:12" s="43" customFormat="1" ht="21.75" thickBot="1" x14ac:dyDescent="0.4">
      <c r="A388" s="123" t="s">
        <v>128</v>
      </c>
      <c r="B388" s="126"/>
      <c r="C388" s="62"/>
      <c r="D388" s="62"/>
      <c r="E388" s="62"/>
      <c r="F388" s="39">
        <f>SUM(F385:F387)</f>
        <v>121448.14</v>
      </c>
      <c r="G388" s="113">
        <f>SUM(G385:G387)</f>
        <v>70.30777155627608</v>
      </c>
      <c r="H388" s="113">
        <f>SUM(H385:H387)</f>
        <v>0.21114436586156274</v>
      </c>
      <c r="I388" s="33" t="s">
        <v>166</v>
      </c>
      <c r="J388" s="113">
        <f>J387/K390</f>
        <v>134400.26</v>
      </c>
      <c r="K388" s="102">
        <f>J388*100/(J384+J388)</f>
        <v>81.262716169592537</v>
      </c>
      <c r="L388" s="93"/>
    </row>
    <row r="389" spans="1:12" s="43" customFormat="1" ht="13.5" thickBot="1" x14ac:dyDescent="0.25">
      <c r="L389" s="93"/>
    </row>
    <row r="390" spans="1:12" s="43" customFormat="1" ht="21" thickBot="1" x14ac:dyDescent="0.35">
      <c r="A390" s="125"/>
      <c r="B390" s="126"/>
      <c r="C390" s="62"/>
      <c r="D390" s="62"/>
      <c r="E390" s="62"/>
      <c r="F390" s="40"/>
      <c r="H390" s="75"/>
      <c r="I390" s="128" t="s">
        <v>182</v>
      </c>
      <c r="K390" s="102">
        <v>44</v>
      </c>
      <c r="L390" s="93"/>
    </row>
    <row r="391" spans="1:12" ht="19.5" x14ac:dyDescent="0.35">
      <c r="A391" s="22"/>
      <c r="B391" s="12"/>
      <c r="C391" s="12"/>
      <c r="D391" s="12"/>
      <c r="E391" s="12"/>
      <c r="F391" s="18"/>
      <c r="G391" s="18"/>
      <c r="H391" s="18"/>
      <c r="J391" s="7"/>
      <c r="K391" s="7"/>
      <c r="L391" s="7"/>
    </row>
    <row r="392" spans="1:12" ht="20.25" x14ac:dyDescent="0.3">
      <c r="A392" s="23" t="s">
        <v>282</v>
      </c>
      <c r="B392" s="12"/>
      <c r="C392" s="12"/>
      <c r="D392" s="12"/>
      <c r="E392" s="12"/>
      <c r="F392" s="18"/>
      <c r="H392" s="2"/>
      <c r="J392" s="7"/>
      <c r="K392" s="7"/>
      <c r="L392" s="7"/>
    </row>
    <row r="393" spans="1:12" ht="18.75" x14ac:dyDescent="0.3">
      <c r="A393" s="12" t="s">
        <v>72</v>
      </c>
      <c r="B393" s="12"/>
      <c r="C393" s="12"/>
      <c r="D393" s="12"/>
      <c r="E393" s="12"/>
      <c r="F393" s="17">
        <f>F184+G184+H184+I184+J184+K184+F203+G203+H203+I203+J203+K203</f>
        <v>789</v>
      </c>
      <c r="G393" s="2">
        <f>F393*100/J368</f>
        <v>0.45676147660970218</v>
      </c>
      <c r="H393" s="2">
        <v>0</v>
      </c>
      <c r="J393" s="7"/>
      <c r="K393" s="7"/>
      <c r="L393" s="7"/>
    </row>
    <row r="394" spans="1:12" ht="19.5" thickBot="1" x14ac:dyDescent="0.35">
      <c r="A394" s="12" t="s">
        <v>71</v>
      </c>
      <c r="B394" s="12"/>
      <c r="C394" s="12"/>
      <c r="D394" s="12"/>
      <c r="E394" s="12"/>
      <c r="F394" s="17">
        <f>F188+G188+H188+I188+J188+K188</f>
        <v>3893</v>
      </c>
      <c r="G394" s="2">
        <f>F394*100/J368</f>
        <v>2.2537039650716988</v>
      </c>
      <c r="H394" s="2">
        <v>0</v>
      </c>
      <c r="J394" s="7"/>
      <c r="K394" s="7"/>
      <c r="L394" s="7"/>
    </row>
    <row r="395" spans="1:12" ht="20.25" thickBot="1" x14ac:dyDescent="0.4">
      <c r="A395" s="22" t="s">
        <v>129</v>
      </c>
      <c r="B395" s="12"/>
      <c r="C395" s="12"/>
      <c r="D395" s="12"/>
      <c r="E395" s="12"/>
      <c r="F395" s="16">
        <f>SUM(F393:F394)</f>
        <v>4682</v>
      </c>
      <c r="G395" s="19">
        <f>SUM(G393:G394)</f>
        <v>2.7104654416814009</v>
      </c>
      <c r="H395" s="19">
        <f>SUM(H393:H394)</f>
        <v>0</v>
      </c>
      <c r="J395" s="7"/>
      <c r="K395" s="7"/>
      <c r="L395" s="7"/>
    </row>
    <row r="396" spans="1:12" ht="20.25" thickBot="1" x14ac:dyDescent="0.4">
      <c r="A396" s="22"/>
      <c r="B396" s="12"/>
      <c r="C396" s="12"/>
      <c r="D396" s="12"/>
      <c r="E396" s="12"/>
      <c r="F396" s="18"/>
      <c r="H396" s="2"/>
      <c r="J396" s="7"/>
      <c r="K396" s="7"/>
      <c r="L396" s="7"/>
    </row>
    <row r="397" spans="1:12" ht="20.25" thickBot="1" x14ac:dyDescent="0.4">
      <c r="A397" s="14" t="s">
        <v>131</v>
      </c>
      <c r="B397" s="9"/>
      <c r="C397" s="9"/>
      <c r="D397" s="9"/>
      <c r="E397" s="20"/>
      <c r="F397" s="16">
        <f>F382+F388+F395</f>
        <v>165389.82</v>
      </c>
      <c r="G397" s="19">
        <f>G382+G388+G395</f>
        <v>95.746132318647469</v>
      </c>
      <c r="H397" s="19">
        <f>H382+H388+H395</f>
        <v>99.999999999999972</v>
      </c>
      <c r="I397" s="19">
        <f>J371</f>
        <v>39342.750000000015</v>
      </c>
      <c r="J397" s="32" t="s">
        <v>155</v>
      </c>
      <c r="K397" s="32"/>
      <c r="L397" s="7"/>
    </row>
    <row r="398" spans="1:12" ht="19.5" x14ac:dyDescent="0.35">
      <c r="A398" s="14"/>
      <c r="B398" s="9"/>
      <c r="C398" s="9"/>
      <c r="D398" s="9"/>
      <c r="E398" s="20"/>
      <c r="F398" s="18"/>
      <c r="G398" s="25"/>
      <c r="J398" s="7"/>
      <c r="K398" s="7"/>
      <c r="L398" s="7"/>
    </row>
    <row r="399" spans="1:12" ht="20.25" x14ac:dyDescent="0.35">
      <c r="A399" s="31" t="s">
        <v>133</v>
      </c>
      <c r="I399" s="7"/>
      <c r="K399" s="7"/>
      <c r="L399" s="7"/>
    </row>
    <row r="400" spans="1:12" ht="21.75" thickBot="1" x14ac:dyDescent="0.4">
      <c r="A400" s="23"/>
      <c r="G400" s="29" t="s">
        <v>157</v>
      </c>
      <c r="H400" s="30" t="s">
        <v>158</v>
      </c>
      <c r="J400" s="14" t="s">
        <v>134</v>
      </c>
      <c r="K400" s="7"/>
      <c r="L400" s="7"/>
    </row>
    <row r="401" spans="1:14" ht="19.5" thickBot="1" x14ac:dyDescent="0.35">
      <c r="A401" s="36" t="s">
        <v>60</v>
      </c>
      <c r="B401" s="12"/>
      <c r="C401" s="12"/>
      <c r="D401" s="26"/>
      <c r="E401" s="12"/>
      <c r="F401" s="17">
        <f>F213+G213+H213+I213+J213+K213+F222+G222+H222+I222+J222+K222</f>
        <v>0</v>
      </c>
      <c r="G401" s="24">
        <f>F401*100/J401</f>
        <v>0</v>
      </c>
      <c r="H401" s="24">
        <f>F401*100/J404</f>
        <v>0</v>
      </c>
      <c r="J401" s="37">
        <f>F218+G218+H218+I218+J218+K218+F227+G227+H227+I227+J227+K227+F406</f>
        <v>25534327.509999998</v>
      </c>
      <c r="K401" s="7"/>
      <c r="L401" s="7"/>
    </row>
    <row r="402" spans="1:14" ht="18.75" x14ac:dyDescent="0.3">
      <c r="A402" s="12" t="s">
        <v>61</v>
      </c>
      <c r="B402" s="12"/>
      <c r="C402" s="12"/>
      <c r="D402" s="12"/>
      <c r="E402" s="12"/>
      <c r="F402" s="38">
        <f>F214+G214+H214+I214+J214+K214+F223+G223+H223+I223+J223+K223</f>
        <v>20500495.549999997</v>
      </c>
      <c r="G402" s="24">
        <f>F402*100/J401</f>
        <v>80.286021012189948</v>
      </c>
      <c r="H402" s="24">
        <f>F402*100/J404</f>
        <v>97.901420548511723</v>
      </c>
      <c r="J402" s="7"/>
      <c r="K402" s="7"/>
      <c r="L402" s="7"/>
    </row>
    <row r="403" spans="1:14" ht="20.25" thickBot="1" x14ac:dyDescent="0.4">
      <c r="A403" s="12" t="s">
        <v>62</v>
      </c>
      <c r="B403" s="12"/>
      <c r="C403" s="12"/>
      <c r="D403" s="12"/>
      <c r="E403" s="12"/>
      <c r="F403" s="17">
        <f>F215+G215+H215+I215+J215+K215+F224+G224+H224+I224+J224+K224</f>
        <v>26585.519999999997</v>
      </c>
      <c r="G403" s="24">
        <f>F403*100/J401</f>
        <v>0.10411678157409206</v>
      </c>
      <c r="H403" s="2">
        <v>0</v>
      </c>
      <c r="J403" s="14" t="s">
        <v>156</v>
      </c>
      <c r="K403" s="7"/>
      <c r="L403" s="7"/>
    </row>
    <row r="404" spans="1:14" ht="19.5" thickBot="1" x14ac:dyDescent="0.35">
      <c r="A404" s="12" t="s">
        <v>63</v>
      </c>
      <c r="B404" s="12"/>
      <c r="C404" s="12"/>
      <c r="D404" s="12"/>
      <c r="E404" s="12"/>
      <c r="F404" s="17">
        <f>F216+G216+H216+I216+J216+K216+F225+G225+H225+I225+J225+K225</f>
        <v>4567805.2299999995</v>
      </c>
      <c r="G404" s="24">
        <f>F404*100/J401</f>
        <v>17.888880089797201</v>
      </c>
      <c r="H404" s="2">
        <v>0</v>
      </c>
      <c r="J404" s="37">
        <f>F407-F403-F404</f>
        <v>20939936.759999998</v>
      </c>
      <c r="K404" s="7"/>
      <c r="L404" s="7"/>
    </row>
    <row r="405" spans="1:14" ht="18.75" x14ac:dyDescent="0.3">
      <c r="A405" s="12" t="s">
        <v>64</v>
      </c>
      <c r="B405" s="12"/>
      <c r="C405" s="12"/>
      <c r="D405" s="12"/>
      <c r="E405" s="12"/>
      <c r="F405" s="17">
        <f>F217+G217+H217+I217+J217+K217+F226+G226+H226+I226+J226+K226</f>
        <v>0</v>
      </c>
      <c r="G405" s="24">
        <f>F405*100/J401</f>
        <v>0</v>
      </c>
      <c r="H405" s="24">
        <f>F405*100/J404</f>
        <v>0</v>
      </c>
      <c r="J405" s="7"/>
      <c r="K405" s="7"/>
      <c r="L405" s="7"/>
    </row>
    <row r="406" spans="1:14" ht="19.5" thickBot="1" x14ac:dyDescent="0.35">
      <c r="A406" s="12" t="s">
        <v>135</v>
      </c>
      <c r="B406" s="12"/>
      <c r="C406" s="12"/>
      <c r="D406" s="12"/>
      <c r="E406" s="12"/>
      <c r="F406" s="17">
        <f>SUM(F245:F250)+SUM(G246:G250)+SUM(H246+H250)+SUM(I246:I250)+SUM(J246:J250)+SUM(K246:K250)+SUM(F256:F260)+SUM(G256:G260)+SUM(H256:H260)+SUM(I256:I260)+SUM(J256:J260)+SUM(K256:K260)</f>
        <v>439441.20999999996</v>
      </c>
      <c r="G406" s="24">
        <f>F406*100/J401</f>
        <v>1.7209821164387502</v>
      </c>
      <c r="H406" s="24">
        <f>F406*100/J404</f>
        <v>2.098579451488277</v>
      </c>
      <c r="J406" s="7"/>
      <c r="K406" s="7"/>
      <c r="L406" s="7"/>
    </row>
    <row r="407" spans="1:14" ht="20.25" thickBot="1" x14ac:dyDescent="0.4">
      <c r="A407" s="14" t="s">
        <v>159</v>
      </c>
      <c r="B407" s="9"/>
      <c r="C407" s="9"/>
      <c r="D407" s="9"/>
      <c r="E407" s="20"/>
      <c r="F407" s="37">
        <f>SUM(F401:F406)</f>
        <v>25534327.509999998</v>
      </c>
      <c r="G407" s="19">
        <f>SUM(G401:G406)</f>
        <v>99.999999999999986</v>
      </c>
      <c r="H407" s="19">
        <f>SUM(H401:H406)</f>
        <v>100</v>
      </c>
      <c r="I407" s="37">
        <f>J404</f>
        <v>20939936.759999998</v>
      </c>
      <c r="J407" s="14" t="s">
        <v>134</v>
      </c>
      <c r="K407" s="9"/>
      <c r="L407" s="9"/>
      <c r="M407" s="9"/>
      <c r="N407" s="20"/>
    </row>
    <row r="408" spans="1:14" ht="19.5" x14ac:dyDescent="0.35">
      <c r="A408" s="14"/>
      <c r="B408" s="9"/>
      <c r="C408" s="9"/>
      <c r="D408" s="9"/>
      <c r="E408" s="20"/>
      <c r="F408" s="18"/>
      <c r="G408" s="25"/>
      <c r="J408" s="7"/>
      <c r="K408" s="7"/>
      <c r="L408" s="7"/>
    </row>
    <row r="409" spans="1:14" ht="20.25" x14ac:dyDescent="0.3">
      <c r="A409" s="3" t="s">
        <v>136</v>
      </c>
      <c r="I409" s="7"/>
      <c r="K409" s="7"/>
      <c r="L409" s="7"/>
    </row>
    <row r="410" spans="1:14" ht="21" thickBot="1" x14ac:dyDescent="0.35">
      <c r="A410" s="3"/>
      <c r="G410" s="29" t="s">
        <v>157</v>
      </c>
      <c r="H410" s="30" t="s">
        <v>158</v>
      </c>
      <c r="J410" s="30" t="s">
        <v>138</v>
      </c>
      <c r="K410" s="7"/>
      <c r="L410" s="7"/>
    </row>
    <row r="411" spans="1:14" ht="19.5" thickBot="1" x14ac:dyDescent="0.35">
      <c r="A411" s="12" t="s">
        <v>60</v>
      </c>
      <c r="B411" s="11"/>
      <c r="C411" s="11"/>
      <c r="D411" s="11"/>
      <c r="E411" s="11"/>
      <c r="F411" s="15">
        <f>F230+G230+H230+I230+J230+K230+F237+G237+H237+I237+J237+K237</f>
        <v>0</v>
      </c>
      <c r="G411" s="2">
        <f>F411*100/J411</f>
        <v>0</v>
      </c>
      <c r="H411" s="2">
        <v>0</v>
      </c>
      <c r="I411" s="7"/>
      <c r="J411" s="16">
        <f>F234+G234+H234+I234+J234+K234+F241+G241+H241+I241+J241+K241</f>
        <v>179564</v>
      </c>
      <c r="K411" s="7"/>
      <c r="L411" s="7"/>
    </row>
    <row r="412" spans="1:14" ht="18.75" x14ac:dyDescent="0.3">
      <c r="A412" s="12" t="s">
        <v>67</v>
      </c>
      <c r="B412" s="11"/>
      <c r="C412" s="11"/>
      <c r="D412" s="11"/>
      <c r="E412" s="11"/>
      <c r="F412" s="15">
        <f>F231+G231+H231+I231+J231+K231+F238+G238+H238+I238+J238+K238</f>
        <v>178485</v>
      </c>
      <c r="G412" s="2">
        <f>F412*100/J411</f>
        <v>99.399100042324747</v>
      </c>
      <c r="H412" s="2">
        <f>F412*100/J414</f>
        <v>100</v>
      </c>
      <c r="I412" s="7"/>
      <c r="K412" s="7"/>
      <c r="L412" s="7"/>
    </row>
    <row r="413" spans="1:14" ht="19.5" thickBot="1" x14ac:dyDescent="0.35">
      <c r="A413" s="12" t="s">
        <v>68</v>
      </c>
      <c r="B413" s="11"/>
      <c r="C413" s="11"/>
      <c r="D413" s="11"/>
      <c r="E413" s="11"/>
      <c r="F413" s="15">
        <f>F232+G232+H232+I232+J232+K232+F239+G239+H239+I239+J239+K239</f>
        <v>0</v>
      </c>
      <c r="G413" s="2">
        <f>F413*100/J411</f>
        <v>0</v>
      </c>
      <c r="H413" s="2">
        <f>F413*100/J414</f>
        <v>0</v>
      </c>
      <c r="I413" s="7"/>
      <c r="J413" s="30" t="s">
        <v>160</v>
      </c>
      <c r="K413" s="7"/>
      <c r="L413" s="7"/>
    </row>
    <row r="414" spans="1:14" ht="19.5" thickBot="1" x14ac:dyDescent="0.35">
      <c r="A414" s="12" t="s">
        <v>69</v>
      </c>
      <c r="B414" s="11"/>
      <c r="C414" s="11"/>
      <c r="D414" s="11"/>
      <c r="E414" s="11"/>
      <c r="F414" s="15">
        <f>F233+G233+H233+I233+J233+K233+F240+G240+H240+I240+J240+K240</f>
        <v>1079</v>
      </c>
      <c r="G414" s="2">
        <f>F414*100/J411</f>
        <v>0.60089995767525783</v>
      </c>
      <c r="H414" s="2">
        <v>0</v>
      </c>
      <c r="I414" s="7"/>
      <c r="J414" s="16">
        <f>F415-F411-F414</f>
        <v>178485</v>
      </c>
      <c r="K414" s="7"/>
      <c r="L414" s="7"/>
    </row>
    <row r="415" spans="1:14" ht="20.25" thickBot="1" x14ac:dyDescent="0.4">
      <c r="A415" s="14" t="s">
        <v>137</v>
      </c>
      <c r="B415" s="9"/>
      <c r="C415" s="9"/>
      <c r="D415" s="9"/>
      <c r="E415" s="20"/>
      <c r="F415" s="16">
        <f>SUM(F411:F414)</f>
        <v>179564</v>
      </c>
      <c r="G415" s="19">
        <f>SUM(G411:G414)</f>
        <v>100</v>
      </c>
      <c r="H415" s="19">
        <f>SUM(H411:H414)</f>
        <v>100</v>
      </c>
      <c r="I415" s="16">
        <f>J414</f>
        <v>178485</v>
      </c>
      <c r="K415" s="7"/>
      <c r="L415" s="7"/>
    </row>
    <row r="417" spans="1:15" ht="15.75" x14ac:dyDescent="0.25">
      <c r="A417" s="129"/>
      <c r="B417" s="129"/>
      <c r="J417" s="130"/>
      <c r="K417" s="130"/>
      <c r="L417" s="131"/>
      <c r="M417" s="130"/>
      <c r="N417" s="132"/>
      <c r="O417" s="132"/>
    </row>
    <row r="422" spans="1:15" x14ac:dyDescent="0.2">
      <c r="M422" s="43"/>
      <c r="N422" s="43"/>
      <c r="O422" s="43"/>
    </row>
  </sheetData>
  <phoneticPr fontId="0" type="noConversion"/>
  <pageMargins left="0" right="0" top="0" bottom="0" header="0" footer="0"/>
  <pageSetup paperSize="9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74"/>
  <sheetViews>
    <sheetView topLeftCell="A40" workbookViewId="0">
      <selection activeCell="M56" sqref="M56:R56"/>
    </sheetView>
  </sheetViews>
  <sheetFormatPr baseColWidth="10" defaultRowHeight="12.75" x14ac:dyDescent="0.2"/>
  <cols>
    <col min="2" max="2" width="52.140625" bestFit="1" customWidth="1"/>
    <col min="3" max="3" width="14.42578125" bestFit="1" customWidth="1"/>
    <col min="18" max="18" width="12.85546875" bestFit="1" customWidth="1"/>
  </cols>
  <sheetData>
    <row r="4" spans="3:5" x14ac:dyDescent="0.2">
      <c r="C4" t="s">
        <v>274</v>
      </c>
      <c r="E4" t="s">
        <v>275</v>
      </c>
    </row>
    <row r="5" spans="3:5" x14ac:dyDescent="0.2">
      <c r="C5">
        <v>463701</v>
      </c>
      <c r="E5" t="s">
        <v>276</v>
      </c>
    </row>
    <row r="6" spans="3:5" x14ac:dyDescent="0.2">
      <c r="C6">
        <v>355756</v>
      </c>
      <c r="E6">
        <v>366627.57</v>
      </c>
    </row>
    <row r="7" spans="3:5" x14ac:dyDescent="0.2">
      <c r="C7">
        <v>298959</v>
      </c>
    </row>
    <row r="8" spans="3:5" x14ac:dyDescent="0.2">
      <c r="C8">
        <v>221858</v>
      </c>
    </row>
    <row r="9" spans="3:5" x14ac:dyDescent="0.2">
      <c r="C9">
        <v>209520</v>
      </c>
    </row>
    <row r="10" spans="3:5" x14ac:dyDescent="0.2">
      <c r="C10">
        <v>205328</v>
      </c>
    </row>
    <row r="11" spans="3:5" x14ac:dyDescent="0.2">
      <c r="C11">
        <v>288914</v>
      </c>
    </row>
    <row r="12" spans="3:5" x14ac:dyDescent="0.2">
      <c r="C12">
        <v>222823</v>
      </c>
    </row>
    <row r="13" spans="3:5" x14ac:dyDescent="0.2">
      <c r="C13">
        <v>246323</v>
      </c>
    </row>
    <row r="14" spans="3:5" x14ac:dyDescent="0.2">
      <c r="C14">
        <v>256910</v>
      </c>
    </row>
    <row r="15" spans="3:5" x14ac:dyDescent="0.2">
      <c r="C15">
        <v>256896</v>
      </c>
    </row>
    <row r="16" spans="3:5" x14ac:dyDescent="0.2">
      <c r="C16">
        <v>74469</v>
      </c>
    </row>
    <row r="17" spans="3:3" x14ac:dyDescent="0.2">
      <c r="C17">
        <v>96994</v>
      </c>
    </row>
    <row r="18" spans="3:3" x14ac:dyDescent="0.2">
      <c r="C18">
        <v>91983</v>
      </c>
    </row>
    <row r="19" spans="3:3" x14ac:dyDescent="0.2">
      <c r="C19">
        <v>167242</v>
      </c>
    </row>
    <row r="20" spans="3:3" x14ac:dyDescent="0.2">
      <c r="C20">
        <f>SUM(C5:C19)</f>
        <v>3457676</v>
      </c>
    </row>
    <row r="24" spans="3:3" x14ac:dyDescent="0.2">
      <c r="C24" t="s">
        <v>276</v>
      </c>
    </row>
    <row r="28" spans="3:3" x14ac:dyDescent="0.2">
      <c r="C28" t="s">
        <v>277</v>
      </c>
    </row>
    <row r="29" spans="3:3" x14ac:dyDescent="0.2">
      <c r="C29">
        <v>1360599</v>
      </c>
    </row>
    <row r="30" spans="3:3" x14ac:dyDescent="0.2">
      <c r="C30">
        <v>141446</v>
      </c>
    </row>
    <row r="31" spans="3:3" x14ac:dyDescent="0.2">
      <c r="C31">
        <v>39652.82</v>
      </c>
    </row>
    <row r="32" spans="3:3" x14ac:dyDescent="0.2">
      <c r="C32">
        <f>+SUM(C29:C31)</f>
        <v>1541697.82</v>
      </c>
    </row>
    <row r="36" spans="3:3" x14ac:dyDescent="0.2">
      <c r="C36" t="s">
        <v>278</v>
      </c>
    </row>
    <row r="37" spans="3:3" x14ac:dyDescent="0.2">
      <c r="C37">
        <v>2472725</v>
      </c>
    </row>
    <row r="38" spans="3:3" x14ac:dyDescent="0.2">
      <c r="C38">
        <v>544000</v>
      </c>
    </row>
    <row r="39" spans="3:3" x14ac:dyDescent="0.2">
      <c r="C39">
        <f>+SUM(C37:C38)</f>
        <v>3016725</v>
      </c>
    </row>
    <row r="45" spans="3:3" x14ac:dyDescent="0.2">
      <c r="C45" t="s">
        <v>279</v>
      </c>
    </row>
    <row r="46" spans="3:3" x14ac:dyDescent="0.2">
      <c r="C46">
        <v>486175.94</v>
      </c>
    </row>
    <row r="47" spans="3:3" x14ac:dyDescent="0.2">
      <c r="C47">
        <v>1744208</v>
      </c>
    </row>
    <row r="48" spans="3:3" x14ac:dyDescent="0.2">
      <c r="C48">
        <v>115536.95</v>
      </c>
    </row>
    <row r="51" spans="2:18" x14ac:dyDescent="0.2">
      <c r="C51" t="s">
        <v>148</v>
      </c>
    </row>
    <row r="52" spans="2:18" ht="18.75" x14ac:dyDescent="0.3">
      <c r="B52" s="8" t="s">
        <v>98</v>
      </c>
      <c r="C52">
        <v>111651.19</v>
      </c>
      <c r="M52" s="42" t="s">
        <v>109</v>
      </c>
      <c r="N52" s="42"/>
      <c r="O52" s="42"/>
      <c r="P52" s="42"/>
      <c r="Q52" s="42"/>
      <c r="R52" s="42">
        <v>317810</v>
      </c>
    </row>
    <row r="53" spans="2:18" ht="18.75" x14ac:dyDescent="0.3">
      <c r="B53" s="8" t="s">
        <v>101</v>
      </c>
      <c r="C53">
        <v>17195</v>
      </c>
      <c r="M53" s="42" t="s">
        <v>100</v>
      </c>
      <c r="N53" s="42"/>
      <c r="O53" s="42"/>
      <c r="P53" s="42"/>
      <c r="Q53" s="42"/>
      <c r="R53" s="42">
        <v>0</v>
      </c>
    </row>
    <row r="54" spans="2:18" ht="18.75" x14ac:dyDescent="0.3">
      <c r="B54" s="8" t="s">
        <v>102</v>
      </c>
      <c r="C54">
        <v>158050</v>
      </c>
      <c r="M54" s="42" t="s">
        <v>103</v>
      </c>
      <c r="N54" s="42"/>
      <c r="O54" s="42"/>
      <c r="P54" s="42"/>
      <c r="Q54" s="42"/>
      <c r="R54" s="42">
        <v>99500</v>
      </c>
    </row>
    <row r="55" spans="2:18" ht="18.75" x14ac:dyDescent="0.3">
      <c r="B55" s="8" t="s">
        <v>31</v>
      </c>
      <c r="C55">
        <v>7150</v>
      </c>
      <c r="M55" s="42" t="s">
        <v>39</v>
      </c>
      <c r="N55" s="42"/>
      <c r="O55" s="42"/>
      <c r="P55" s="42"/>
      <c r="Q55" s="42"/>
      <c r="R55" s="42">
        <v>130384.34</v>
      </c>
    </row>
    <row r="56" spans="2:18" ht="18.75" x14ac:dyDescent="0.3">
      <c r="B56" s="8" t="s">
        <v>104</v>
      </c>
      <c r="C56">
        <v>94437</v>
      </c>
      <c r="M56" s="41" t="s">
        <v>106</v>
      </c>
      <c r="N56" s="41"/>
      <c r="O56" s="41"/>
      <c r="P56" s="41"/>
      <c r="Q56" s="41"/>
      <c r="R56" s="41">
        <v>597500</v>
      </c>
    </row>
    <row r="57" spans="2:18" ht="18.75" x14ac:dyDescent="0.3">
      <c r="B57" s="8" t="s">
        <v>105</v>
      </c>
      <c r="C57">
        <v>138765.85999999999</v>
      </c>
      <c r="M57" t="s">
        <v>107</v>
      </c>
      <c r="R57">
        <v>0</v>
      </c>
    </row>
    <row r="58" spans="2:18" ht="18.75" x14ac:dyDescent="0.3">
      <c r="B58" s="8" t="s">
        <v>41</v>
      </c>
      <c r="C58">
        <v>476293.75</v>
      </c>
      <c r="M58" t="s">
        <v>240</v>
      </c>
      <c r="R58">
        <v>158405</v>
      </c>
    </row>
    <row r="59" spans="2:18" ht="18.75" x14ac:dyDescent="0.3">
      <c r="B59" s="8" t="s">
        <v>214</v>
      </c>
      <c r="C59">
        <v>13034</v>
      </c>
      <c r="M59" t="s">
        <v>143</v>
      </c>
      <c r="R59">
        <v>76000</v>
      </c>
    </row>
    <row r="60" spans="2:18" ht="18.75" x14ac:dyDescent="0.3">
      <c r="B60" s="8" t="s">
        <v>108</v>
      </c>
      <c r="C60">
        <v>68552.790000000008</v>
      </c>
      <c r="M60" t="s">
        <v>110</v>
      </c>
      <c r="R60">
        <v>19480</v>
      </c>
    </row>
    <row r="61" spans="2:18" ht="18.75" x14ac:dyDescent="0.3">
      <c r="B61" s="8" t="s">
        <v>47</v>
      </c>
      <c r="C61">
        <v>97000</v>
      </c>
      <c r="M61" t="s">
        <v>150</v>
      </c>
      <c r="R61">
        <v>0</v>
      </c>
    </row>
    <row r="62" spans="2:18" ht="18.75" x14ac:dyDescent="0.3">
      <c r="B62" s="8" t="s">
        <v>48</v>
      </c>
      <c r="C62">
        <v>6346</v>
      </c>
      <c r="M62" t="s">
        <v>241</v>
      </c>
      <c r="R62">
        <v>453939.47000000003</v>
      </c>
    </row>
    <row r="63" spans="2:18" x14ac:dyDescent="0.2">
      <c r="C63" s="2">
        <f>SUM(C52:C62)</f>
        <v>1188475.5900000001</v>
      </c>
      <c r="R63" s="2">
        <f>SUM(R52:R62)</f>
        <v>1853018.8099999998</v>
      </c>
    </row>
    <row r="69" spans="2:7" x14ac:dyDescent="0.2">
      <c r="B69" t="s">
        <v>114</v>
      </c>
      <c r="G69">
        <v>206118</v>
      </c>
    </row>
    <row r="70" spans="2:7" x14ac:dyDescent="0.2">
      <c r="B70" t="s">
        <v>203</v>
      </c>
      <c r="G70">
        <v>31449</v>
      </c>
    </row>
    <row r="71" spans="2:7" x14ac:dyDescent="0.2">
      <c r="B71" t="s">
        <v>202</v>
      </c>
      <c r="G71">
        <v>4400</v>
      </c>
    </row>
    <row r="72" spans="2:7" x14ac:dyDescent="0.2">
      <c r="B72" t="s">
        <v>201</v>
      </c>
      <c r="G72">
        <v>0</v>
      </c>
    </row>
    <row r="73" spans="2:7" x14ac:dyDescent="0.2">
      <c r="B73" t="s">
        <v>169</v>
      </c>
      <c r="G73">
        <v>79300</v>
      </c>
    </row>
    <row r="74" spans="2:7" x14ac:dyDescent="0.2">
      <c r="G74" s="2">
        <f>SUM(G69:G73)</f>
        <v>321267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Hoja4</vt:lpstr>
      <vt:lpstr>Hoja2</vt:lpstr>
      <vt:lpstr>Hoja3</vt:lpstr>
      <vt:lpstr>Hoja5</vt:lpstr>
    </vt:vector>
  </TitlesOfParts>
  <Company>Estudio Juridico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Ricardo Lomiento</dc:creator>
  <cp:lastModifiedBy>Fabiana</cp:lastModifiedBy>
  <cp:lastPrinted>2023-04-03T16:51:21Z</cp:lastPrinted>
  <dcterms:created xsi:type="dcterms:W3CDTF">2000-04-19T21:49:04Z</dcterms:created>
  <dcterms:modified xsi:type="dcterms:W3CDTF">2023-12-01T13:23:37Z</dcterms:modified>
</cp:coreProperties>
</file>